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showInkAnnotation="0" codeName="DieseArbeitsmappe" defaultThemeVersion="124226"/>
  <mc:AlternateContent xmlns:mc="http://schemas.openxmlformats.org/markup-compatibility/2006">
    <mc:Choice Requires="x15">
      <x15ac:absPath xmlns:x15ac="http://schemas.microsoft.com/office/spreadsheetml/2010/11/ac" url="M:\UZ\Vergabekriterien englisch\Aktuelle VGK\UZ 219 Edition 2021\Zur Veröffentlichung\annexes\"/>
    </mc:Choice>
  </mc:AlternateContent>
  <xr:revisionPtr revIDLastSave="0" documentId="8_{56B98845-8FA1-4C01-A022-70A6C433B959}" xr6:coauthVersionLast="36" xr6:coauthVersionMax="36" xr10:uidLastSave="{00000000-0000-0000-0000-000000000000}"/>
  <bookViews>
    <workbookView xWindow="12585" yWindow="-15" windowWidth="12630" windowHeight="11685" tabRatio="314" activeTab="1" xr2:uid="{00000000-000D-0000-FFFF-FFFF00000000}"/>
  </bookViews>
  <sheets>
    <sheet name="Instructions" sheetId="6" r:id="rId1"/>
    <sheet name="Input-Evaluation" sheetId="7" r:id="rId2"/>
    <sheet name="Calculator ES 2.0 - 3.0" sheetId="9" r:id="rId3"/>
    <sheet name="ES 3.0" sheetId="10" r:id="rId4"/>
    <sheet name="Internal Data" sheetId="3" r:id="rId5"/>
  </sheets>
  <definedNames>
    <definedName name="Aktivierungszeit">'Internal Data'!$A$27:$A$28</definedName>
    <definedName name="Ausnahme">'Internal Data'!$A$31:$A$32</definedName>
    <definedName name="Auswahl">'Internal Data'!$A$23:$A$24</definedName>
    <definedName name="autooff">'Internal Data'!$A$51:$A$56</definedName>
    <definedName name="_xlnm.Print_Area" localSheetId="0">Instructions!$A$1:$C$45</definedName>
    <definedName name="Duplex">'Internal Data'!$A$11:$A$13</definedName>
    <definedName name="Gerätetyp">'Internal Data'!$A$3:$A$4</definedName>
    <definedName name="Geräusche">'Internal Data'!$A$59:$A$60</definedName>
    <definedName name="Grund">'Internal Data'!$A$87:$A$89</definedName>
    <definedName name="Hauptfunktion">'Internal Data'!$A$35:$A$36</definedName>
    <definedName name="Methode">'Internal Data'!$A$16:$A$20</definedName>
    <definedName name="Modus">'Internal Data'!$A$39:$A$42</definedName>
    <definedName name="Monochrom_Farbe">'Internal Data'!$A$7:$A$8</definedName>
    <definedName name="Prüflabor">'Internal Data'!$A$63:$A$79</definedName>
    <definedName name="Prüfung">'Internal Data'!$A$91</definedName>
    <definedName name="Ruhezustand">'Internal Data'!$A$45:$A$48</definedName>
    <definedName name="Tisch_Standgerät">'Internal Data'!$A$83:$A$84</definedName>
  </definedNames>
  <calcPr calcId="191029"/>
</workbook>
</file>

<file path=xl/calcChain.xml><?xml version="1.0" encoding="utf-8"?>
<calcChain xmlns="http://schemas.openxmlformats.org/spreadsheetml/2006/main">
  <c r="EQ5" i="7" l="1"/>
  <c r="X5" i="7"/>
  <c r="W5" i="7"/>
  <c r="EP5" i="7" l="1"/>
  <c r="EM6" i="7" l="1"/>
  <c r="EL6" i="7"/>
  <c r="K6" i="7"/>
  <c r="BO6" i="7"/>
  <c r="FY5" i="7"/>
  <c r="FN5" i="7"/>
  <c r="BN6" i="7" l="1"/>
  <c r="BI6" i="7"/>
  <c r="FF6" i="7"/>
  <c r="BG5" i="7"/>
  <c r="BJ5" i="7" s="1"/>
  <c r="BJ9" i="7" s="1"/>
  <c r="BK5" i="7" l="1"/>
  <c r="BC5" i="7"/>
  <c r="BB5" i="7"/>
  <c r="BA5" i="7"/>
  <c r="AZ5" i="7"/>
  <c r="BF6" i="7"/>
  <c r="BH6" i="7"/>
  <c r="BE6" i="7"/>
  <c r="E5" i="7" l="1"/>
  <c r="D5" i="7"/>
  <c r="HJ6" i="7"/>
  <c r="GZ6" i="7"/>
  <c r="FP5" i="7"/>
  <c r="FQ5" i="7" s="1"/>
  <c r="GA5" i="7"/>
  <c r="GB5" i="7" s="1"/>
  <c r="EO5" i="7"/>
  <c r="EK6" i="7"/>
  <c r="EK8" i="7"/>
  <c r="F5" i="7" l="1"/>
  <c r="G5" i="7" s="1"/>
  <c r="H5" i="7" s="1"/>
  <c r="EN5" i="7"/>
  <c r="ER5" i="7" l="1"/>
  <c r="AY5" i="7"/>
  <c r="BL5" i="7" s="1"/>
  <c r="BM5" i="7" s="1"/>
  <c r="L6" i="7"/>
  <c r="AQ5" i="7"/>
  <c r="Z5" i="7"/>
  <c r="Y5" i="7"/>
  <c r="V5" i="7"/>
  <c r="Q6" i="7"/>
  <c r="BQ5" i="7" l="1"/>
  <c r="BM9" i="7"/>
  <c r="T6" i="7"/>
  <c r="AA5" i="7" l="1"/>
  <c r="M6" i="7"/>
  <c r="J6" i="7" l="1"/>
  <c r="B9" i="9"/>
  <c r="P8" i="9"/>
  <c r="O8" i="9"/>
  <c r="N8" i="9"/>
  <c r="M8" i="9"/>
  <c r="L8" i="9"/>
  <c r="K8" i="9"/>
  <c r="J8" i="9"/>
  <c r="I8" i="9"/>
  <c r="H8" i="9"/>
  <c r="G8" i="9"/>
  <c r="F8" i="9"/>
  <c r="E8" i="9"/>
  <c r="D8" i="9"/>
  <c r="C8" i="9"/>
  <c r="B8" i="9"/>
  <c r="S8" i="9" s="1"/>
  <c r="S3" i="9"/>
  <c r="T3" i="9" s="1"/>
  <c r="U3" i="9" s="1"/>
  <c r="T8" i="9" l="1"/>
  <c r="U8" i="9" s="1"/>
  <c r="V8" i="9" l="1"/>
  <c r="Q8" i="9"/>
  <c r="BP9" i="7" l="1"/>
  <c r="AP5" i="7"/>
  <c r="CV5" i="7" l="1"/>
  <c r="EH10" i="7" l="1"/>
  <c r="EH8" i="7"/>
  <c r="EC10" i="7"/>
  <c r="EC8" i="7"/>
  <c r="FA5" i="7"/>
  <c r="EY20" i="7"/>
  <c r="EY18" i="7"/>
  <c r="EY16" i="7"/>
  <c r="EY14" i="7"/>
  <c r="EY12" i="7"/>
  <c r="EY10" i="7"/>
  <c r="EY8" i="7"/>
  <c r="EX5" i="7"/>
  <c r="ES20" i="7"/>
  <c r="ES18" i="7"/>
  <c r="ES16" i="7"/>
  <c r="ES14" i="7"/>
  <c r="ES12" i="7"/>
  <c r="ES10" i="7"/>
  <c r="ES8" i="7"/>
  <c r="U6" i="7" l="1"/>
  <c r="GM5" i="7" l="1"/>
  <c r="HH7" i="7"/>
  <c r="HF7" i="7"/>
  <c r="HD7" i="7"/>
  <c r="GS6" i="7" l="1"/>
  <c r="HI6" i="7"/>
  <c r="HH6" i="7"/>
  <c r="HC6" i="7"/>
  <c r="GY6" i="7"/>
  <c r="GX6" i="7"/>
  <c r="FU6" i="7" l="1"/>
  <c r="FT6" i="7"/>
  <c r="FS6" i="7"/>
  <c r="EH5" i="7"/>
  <c r="EJ6" i="7"/>
  <c r="EI6" i="7"/>
  <c r="CB14" i="7"/>
  <c r="DB14" i="7"/>
  <c r="CM14" i="7"/>
  <c r="DB18" i="7"/>
  <c r="DB16" i="7"/>
  <c r="DB12" i="7"/>
  <c r="DB10" i="7"/>
  <c r="DB8" i="7"/>
  <c r="DB22" i="7"/>
  <c r="DB20" i="7"/>
  <c r="CM22" i="7"/>
  <c r="CM20" i="7"/>
  <c r="CB22" i="7"/>
  <c r="CB20" i="7"/>
  <c r="CM18" i="7"/>
  <c r="CM16" i="7"/>
  <c r="CM12" i="7"/>
  <c r="CM10" i="7"/>
  <c r="CM8" i="7"/>
  <c r="CB18" i="7"/>
  <c r="CB16" i="7"/>
  <c r="CB12" i="7"/>
  <c r="CB8" i="7"/>
  <c r="CB10" i="7"/>
  <c r="BU18" i="7"/>
  <c r="BU16" i="7"/>
  <c r="BU14" i="7"/>
  <c r="BU12" i="7"/>
  <c r="BU10" i="7"/>
  <c r="BU8" i="7"/>
  <c r="AJ6" i="7"/>
  <c r="AL6" i="7"/>
  <c r="DC6" i="7" l="1"/>
  <c r="CN6" i="7"/>
  <c r="CC6" i="7"/>
  <c r="AB6" i="7"/>
  <c r="BU6" i="7"/>
  <c r="CW5" i="7" l="1"/>
  <c r="EB5" i="7"/>
  <c r="EC5" i="7" s="1"/>
  <c r="DS5" i="7"/>
  <c r="CU5" i="7"/>
  <c r="DJ5" i="7" s="1"/>
  <c r="CH5" i="7"/>
  <c r="AW5" i="7"/>
  <c r="AV5" i="7"/>
  <c r="DV6" i="7"/>
  <c r="DX5" i="7"/>
  <c r="DU5" i="7"/>
  <c r="DT5" i="7"/>
  <c r="AE6" i="7"/>
  <c r="DM5" i="7"/>
  <c r="DK5" i="7" l="1"/>
  <c r="DL5" i="7" s="1"/>
  <c r="DY5" i="7"/>
  <c r="CX5" i="7"/>
  <c r="CO6" i="7"/>
  <c r="CP6" i="7"/>
  <c r="CI5" i="7"/>
  <c r="BS6" i="7" l="1"/>
  <c r="DW5" i="7"/>
  <c r="AX5" i="7"/>
  <c r="AU5" i="7"/>
  <c r="AT5" i="7"/>
  <c r="AO5" i="7"/>
  <c r="AR5" i="7" s="1"/>
  <c r="AN6" i="7"/>
  <c r="FJ6" i="7"/>
  <c r="FI6" i="7"/>
  <c r="FH6" i="7"/>
  <c r="FG6" i="7"/>
  <c r="FD6" i="7"/>
  <c r="EW6" i="7"/>
  <c r="EV6" i="7"/>
  <c r="EU6" i="7"/>
  <c r="EF6" i="7"/>
  <c r="EE6" i="7"/>
  <c r="ED6" i="7"/>
  <c r="DH6" i="7"/>
  <c r="DG6" i="7"/>
  <c r="DE6" i="7"/>
  <c r="DD6" i="7"/>
  <c r="CS6" i="7"/>
  <c r="CR6" i="7"/>
  <c r="CG6" i="7"/>
  <c r="CF6" i="7"/>
  <c r="CD6" i="7"/>
  <c r="BV6" i="7"/>
  <c r="BT6" i="7"/>
  <c r="BP6" i="7"/>
  <c r="AK6" i="7"/>
  <c r="AI6" i="7"/>
  <c r="AH6" i="7"/>
  <c r="AD6" i="7"/>
  <c r="AC6" i="7"/>
  <c r="N6" i="7"/>
  <c r="GG5" i="7"/>
  <c r="GF5" i="7"/>
  <c r="FZ5" i="7"/>
  <c r="FV5" i="7"/>
  <c r="FW5" i="7" s="1"/>
  <c r="FX5" i="7" s="1"/>
  <c r="FO5" i="7"/>
  <c r="FK5" i="7"/>
  <c r="FL5" i="7" s="1"/>
  <c r="FM5" i="7" s="1"/>
  <c r="DF5" i="7"/>
  <c r="CT5" i="7"/>
  <c r="BX5" i="7"/>
  <c r="DI5" i="7" l="1"/>
  <c r="DO5" i="7" s="1"/>
  <c r="DQ5" i="7" s="1"/>
  <c r="CE5" i="7"/>
  <c r="GC5" i="7"/>
  <c r="FR5" i="7"/>
  <c r="DN5" i="7" l="1"/>
  <c r="DP5" i="7" s="1"/>
  <c r="DZ5" i="7"/>
  <c r="EA5" i="7" s="1"/>
  <c r="CQ5" i="7"/>
  <c r="CY5" i="7" s="1"/>
  <c r="DA5" i="7" s="1"/>
  <c r="BZ5" i="7"/>
  <c r="CB5" i="7" s="1"/>
  <c r="CZ5" i="7" l="1"/>
  <c r="DB5" i="7" s="1"/>
  <c r="BY5" i="7"/>
  <c r="CA5" i="7" s="1"/>
  <c r="CK5" i="7"/>
  <c r="CM5" i="7" s="1"/>
  <c r="CJ5" i="7"/>
  <c r="CL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buttner</author>
    <author>Buttner, Peter</author>
    <author>Buttner Dr., Peter</author>
  </authors>
  <commentList>
    <comment ref="I4" authorId="0" shapeId="0" xr:uid="{00000000-0006-0000-0100-000001000000}">
      <text>
        <r>
          <rPr>
            <sz val="8"/>
            <color indexed="81"/>
            <rFont val="Tahoma"/>
            <family val="2"/>
          </rPr>
          <t>of this report</t>
        </r>
        <r>
          <rPr>
            <sz val="8"/>
            <color indexed="81"/>
            <rFont val="Tahoma"/>
            <family val="2"/>
          </rPr>
          <t xml:space="preserve">
</t>
        </r>
      </text>
    </comment>
    <comment ref="N4" authorId="1" shapeId="0" xr:uid="{AC300380-5E0E-4452-B9C6-12C0CA65890D}">
      <text>
        <r>
          <rPr>
            <sz val="9"/>
            <color indexed="81"/>
            <rFont val="Segoe UI"/>
            <family val="2"/>
          </rPr>
          <t xml:space="preserve">New line with "Alt" + "Enter"
</t>
        </r>
      </text>
    </comment>
    <comment ref="O4" authorId="2" shapeId="0" xr:uid="{00000000-0006-0000-0100-000002000000}">
      <text>
        <r>
          <rPr>
            <sz val="8"/>
            <color indexed="81"/>
            <rFont val="Tahoma"/>
            <family val="2"/>
          </rPr>
          <t xml:space="preserve">How mnny different devices (according Appndix B-M) have equal properties that one annex 8a can be used. (= amount of names of devices)
</t>
        </r>
      </text>
    </comment>
    <comment ref="Q4" authorId="1" shapeId="0" xr:uid="{102B4B19-56EE-4DFE-813C-0EB5FD4AC359}">
      <text>
        <r>
          <rPr>
            <sz val="9"/>
            <color indexed="81"/>
            <rFont val="Segoe UI"/>
            <family val="2"/>
          </rPr>
          <t xml:space="preserve">New line with "Alt" + "Enter"
</t>
        </r>
      </text>
    </comment>
    <comment ref="AC4" authorId="2" shapeId="0" xr:uid="{00000000-0006-0000-0100-000003000000}">
      <text>
        <r>
          <rPr>
            <sz val="8"/>
            <color indexed="81"/>
            <rFont val="Tahoma"/>
            <family val="2"/>
          </rPr>
          <t xml:space="preserve">scope of DE-UZ 219
</t>
        </r>
      </text>
    </comment>
    <comment ref="AT4" authorId="0" shapeId="0" xr:uid="{00000000-0006-0000-0100-000004000000}">
      <text>
        <r>
          <rPr>
            <sz val="8"/>
            <color indexed="81"/>
            <rFont val="Tahoma"/>
            <family val="2"/>
          </rPr>
          <t>according table 15</t>
        </r>
      </text>
    </comment>
    <comment ref="AU4" authorId="0" shapeId="0" xr:uid="{00000000-0006-0000-0100-000005000000}">
      <text>
        <r>
          <rPr>
            <sz val="8"/>
            <color indexed="81"/>
            <rFont val="Tahoma"/>
            <family val="2"/>
          </rPr>
          <t>according table 15</t>
        </r>
      </text>
    </comment>
    <comment ref="AV4" authorId="0" shapeId="0" xr:uid="{00000000-0006-0000-0100-000006000000}">
      <text>
        <r>
          <rPr>
            <sz val="8"/>
            <color indexed="81"/>
            <rFont val="Tahoma"/>
            <family val="2"/>
          </rPr>
          <t xml:space="preserve">according table 16
</t>
        </r>
      </text>
    </comment>
    <comment ref="AW4" authorId="0" shapeId="0" xr:uid="{00000000-0006-0000-0100-000007000000}">
      <text>
        <r>
          <rPr>
            <sz val="8"/>
            <color indexed="81"/>
            <rFont val="Tahoma"/>
            <family val="2"/>
          </rPr>
          <t xml:space="preserve">according table 16
</t>
        </r>
      </text>
    </comment>
    <comment ref="AX4" authorId="0" shapeId="0" xr:uid="{00000000-0006-0000-0100-000008000000}">
      <text>
        <r>
          <rPr>
            <sz val="8"/>
            <color indexed="81"/>
            <rFont val="Tahoma"/>
            <family val="2"/>
          </rPr>
          <t>according table 13</t>
        </r>
      </text>
    </comment>
    <comment ref="BE4" authorId="1" shapeId="0" xr:uid="{35FECAA4-A763-43AD-A92B-1EC1EB7C0F52}">
      <text>
        <r>
          <rPr>
            <b/>
            <sz val="9"/>
            <color indexed="81"/>
            <rFont val="Segoe UI"/>
            <family val="2"/>
          </rPr>
          <t>according ES 3.0</t>
        </r>
        <r>
          <rPr>
            <sz val="9"/>
            <color indexed="81"/>
            <rFont val="Segoe UI"/>
            <family val="2"/>
          </rPr>
          <t xml:space="preserve">
</t>
        </r>
      </text>
    </comment>
    <comment ref="BF4" authorId="1" shapeId="0" xr:uid="{4B8E4D3D-24F1-4A85-812C-517177302C27}">
      <text>
        <r>
          <rPr>
            <b/>
            <sz val="9"/>
            <color indexed="81"/>
            <rFont val="Segoe UI"/>
            <family val="2"/>
          </rPr>
          <t>according ES 3.0</t>
        </r>
        <r>
          <rPr>
            <sz val="9"/>
            <color indexed="81"/>
            <rFont val="Segoe UI"/>
            <family val="2"/>
          </rPr>
          <t xml:space="preserve">
</t>
        </r>
      </text>
    </comment>
    <comment ref="BH4" authorId="1" shapeId="0" xr:uid="{D667C091-C8F7-46F1-A0DD-03351AE4906B}">
      <text>
        <r>
          <rPr>
            <b/>
            <sz val="9"/>
            <color indexed="81"/>
            <rFont val="Segoe UI"/>
            <family val="2"/>
          </rPr>
          <t>according ES 3.0</t>
        </r>
        <r>
          <rPr>
            <sz val="9"/>
            <color indexed="81"/>
            <rFont val="Segoe UI"/>
            <family val="2"/>
          </rPr>
          <t xml:space="preserve">
</t>
        </r>
      </text>
    </comment>
    <comment ref="BI4" authorId="1" shapeId="0" xr:uid="{22127BB3-BD07-462C-B826-72F3D9311531}">
      <text>
        <r>
          <rPr>
            <b/>
            <sz val="9"/>
            <color indexed="81"/>
            <rFont val="Segoe UI"/>
            <family val="2"/>
          </rPr>
          <t>according ES 3.0</t>
        </r>
        <r>
          <rPr>
            <sz val="9"/>
            <color indexed="81"/>
            <rFont val="Segoe UI"/>
            <family val="2"/>
          </rPr>
          <t xml:space="preserve">
</t>
        </r>
      </text>
    </comment>
    <comment ref="BM4" authorId="1" shapeId="0" xr:uid="{89A34247-2B33-4083-8624-B2966ECA722F}">
      <text>
        <r>
          <rPr>
            <b/>
            <sz val="9"/>
            <color indexed="81"/>
            <rFont val="Segoe UI"/>
            <family val="2"/>
          </rPr>
          <t>according ES 3.0</t>
        </r>
        <r>
          <rPr>
            <sz val="9"/>
            <color indexed="81"/>
            <rFont val="Segoe UI"/>
            <family val="2"/>
          </rPr>
          <t xml:space="preserve">
</t>
        </r>
      </text>
    </comment>
    <comment ref="BS4" authorId="0" shapeId="0" xr:uid="{00000000-0006-0000-0100-00000A000000}">
      <text>
        <r>
          <rPr>
            <sz val="8"/>
            <color indexed="81"/>
            <rFont val="Tahoma"/>
            <family val="2"/>
          </rPr>
          <t>Appendix E-I</t>
        </r>
      </text>
    </comment>
    <comment ref="BT4" authorId="0" shapeId="0" xr:uid="{00000000-0006-0000-0100-00000B000000}">
      <text>
        <r>
          <rPr>
            <sz val="8"/>
            <color indexed="81"/>
            <rFont val="Tahoma"/>
            <family val="2"/>
          </rPr>
          <t>Appendix E-I</t>
        </r>
      </text>
    </comment>
    <comment ref="BU4" authorId="0" shapeId="0" xr:uid="{00000000-0006-0000-0100-00000C000000}">
      <text>
        <r>
          <rPr>
            <sz val="8"/>
            <color indexed="81"/>
            <rFont val="Tahoma"/>
            <family val="2"/>
          </rPr>
          <t>Appendix E-I</t>
        </r>
      </text>
    </comment>
    <comment ref="BV11" authorId="0" shapeId="0" xr:uid="{00000000-0006-0000-0100-00000D000000}">
      <text>
        <r>
          <rPr>
            <sz val="8"/>
            <color indexed="81"/>
            <rFont val="Tahoma"/>
            <family val="2"/>
          </rPr>
          <t>Appendix E-M
Chapter 4.3</t>
        </r>
      </text>
    </comment>
    <comment ref="CC11" authorId="0" shapeId="0" xr:uid="{00000000-0006-0000-0100-00000E000000}">
      <text>
        <r>
          <rPr>
            <sz val="8"/>
            <color indexed="81"/>
            <rFont val="Tahoma"/>
            <family val="2"/>
          </rPr>
          <t>Appendix E-M
Chapter 4.3</t>
        </r>
      </text>
    </comment>
    <comment ref="CN11" authorId="0" shapeId="0" xr:uid="{00000000-0006-0000-0100-00000F000000}">
      <text>
        <r>
          <rPr>
            <sz val="8"/>
            <color indexed="81"/>
            <rFont val="Tahoma"/>
            <family val="2"/>
          </rPr>
          <t>Appendix E-M
Chapter 4.3</t>
        </r>
      </text>
    </comment>
    <comment ref="DC11" authorId="0" shapeId="0" xr:uid="{00000000-0006-0000-0100-000010000000}">
      <text>
        <r>
          <rPr>
            <sz val="8"/>
            <color indexed="81"/>
            <rFont val="Tahoma"/>
            <family val="2"/>
          </rPr>
          <t>Appendix E-M
Chapter 4.3</t>
        </r>
      </text>
    </comment>
    <comment ref="ET11" authorId="0" shapeId="0" xr:uid="{00000000-0006-0000-0100-000011000000}">
      <text>
        <r>
          <rPr>
            <sz val="8"/>
            <color indexed="81"/>
            <rFont val="Tahoma"/>
            <family val="2"/>
          </rPr>
          <t>Appendix E-M
Chapter 4.3</t>
        </r>
      </text>
    </comment>
    <comment ref="EZ11" authorId="0" shapeId="0" xr:uid="{00000000-0006-0000-0100-000012000000}">
      <text>
        <r>
          <rPr>
            <sz val="8"/>
            <color indexed="81"/>
            <rFont val="Tahoma"/>
            <family val="2"/>
          </rPr>
          <t>Appendix E-M
Chapter 4.3</t>
        </r>
      </text>
    </comment>
    <comment ref="BV13" authorId="0" shapeId="0" xr:uid="{00000000-0006-0000-0100-000013000000}">
      <text>
        <r>
          <rPr>
            <sz val="8"/>
            <color indexed="81"/>
            <rFont val="Tahoma"/>
            <family val="2"/>
          </rPr>
          <t>Appendix E-M
Chapter 5</t>
        </r>
      </text>
    </comment>
    <comment ref="BV15" authorId="0" shapeId="0" xr:uid="{00000000-0006-0000-0100-000014000000}">
      <text>
        <r>
          <rPr>
            <sz val="8"/>
            <color indexed="81"/>
            <rFont val="Tahoma"/>
            <family val="2"/>
          </rPr>
          <t>Appendix E-M
Chapter 5 (subsection 2)</t>
        </r>
      </text>
    </comment>
    <comment ref="CC15" authorId="0" shapeId="0" xr:uid="{00000000-0006-0000-0100-000015000000}">
      <text>
        <r>
          <rPr>
            <sz val="8"/>
            <color indexed="81"/>
            <rFont val="Tahoma"/>
            <family val="2"/>
          </rPr>
          <t>Appendix E-M
Chapter 5</t>
        </r>
      </text>
    </comment>
    <comment ref="CN15" authorId="0" shapeId="0" xr:uid="{00000000-0006-0000-0100-000016000000}">
      <text>
        <r>
          <rPr>
            <sz val="8"/>
            <color indexed="81"/>
            <rFont val="Tahoma"/>
            <family val="2"/>
          </rPr>
          <t>Appendix E-M
Chapter 5</t>
        </r>
      </text>
    </comment>
    <comment ref="DC15" authorId="0" shapeId="0" xr:uid="{00000000-0006-0000-0100-000017000000}">
      <text>
        <r>
          <rPr>
            <sz val="8"/>
            <color indexed="81"/>
            <rFont val="Tahoma"/>
            <family val="2"/>
          </rPr>
          <t>Appendix E-M
Chapter 5</t>
        </r>
      </text>
    </comment>
    <comment ref="ET15" authorId="0" shapeId="0" xr:uid="{00000000-0006-0000-0100-000018000000}">
      <text>
        <r>
          <rPr>
            <sz val="8"/>
            <color indexed="81"/>
            <rFont val="Tahoma"/>
            <family val="2"/>
          </rPr>
          <t>Appendix E-M
Chapter 5</t>
        </r>
      </text>
    </comment>
    <comment ref="EZ15" authorId="0" shapeId="0" xr:uid="{00000000-0006-0000-0100-000019000000}">
      <text>
        <r>
          <rPr>
            <sz val="8"/>
            <color indexed="81"/>
            <rFont val="Tahoma"/>
            <family val="2"/>
          </rPr>
          <t>Appendix E-M
Chapter 5</t>
        </r>
      </text>
    </comment>
    <comment ref="BV17" authorId="0" shapeId="0" xr:uid="{00000000-0006-0000-0100-00001A000000}">
      <text>
        <r>
          <rPr>
            <sz val="8"/>
            <color indexed="81"/>
            <rFont val="Tahoma"/>
            <family val="2"/>
          </rPr>
          <t xml:space="preserve">Appendix E-M
Chapter 5 (subsection 4)
</t>
        </r>
      </text>
    </comment>
    <comment ref="CC17" authorId="0" shapeId="0" xr:uid="{00000000-0006-0000-0100-00001B000000}">
      <text>
        <r>
          <rPr>
            <sz val="8"/>
            <color indexed="81"/>
            <rFont val="Tahoma"/>
            <family val="2"/>
          </rPr>
          <t>Appendix E-M
Chapter 5</t>
        </r>
      </text>
    </comment>
    <comment ref="CN17" authorId="0" shapeId="0" xr:uid="{00000000-0006-0000-0100-00001C000000}">
      <text>
        <r>
          <rPr>
            <sz val="8"/>
            <color indexed="81"/>
            <rFont val="Tahoma"/>
            <family val="2"/>
          </rPr>
          <t>Appendix E-M
Chapter 5</t>
        </r>
      </text>
    </comment>
    <comment ref="DC17" authorId="0" shapeId="0" xr:uid="{00000000-0006-0000-0100-00001D000000}">
      <text>
        <r>
          <rPr>
            <sz val="8"/>
            <color indexed="81"/>
            <rFont val="Tahoma"/>
            <family val="2"/>
          </rPr>
          <t>Appendix E-M
Chapter 5</t>
        </r>
      </text>
    </comment>
    <comment ref="ET17" authorId="0" shapeId="0" xr:uid="{00000000-0006-0000-0100-00001E000000}">
      <text>
        <r>
          <rPr>
            <sz val="8"/>
            <color indexed="81"/>
            <rFont val="Tahoma"/>
            <family val="2"/>
          </rPr>
          <t>Appendix E-M
Chapter 5</t>
        </r>
      </text>
    </comment>
    <comment ref="EZ17" authorId="0" shapeId="0" xr:uid="{00000000-0006-0000-0100-00001F000000}">
      <text>
        <r>
          <rPr>
            <sz val="8"/>
            <color indexed="81"/>
            <rFont val="Tahoma"/>
            <family val="2"/>
          </rPr>
          <t>Appendix E-M
Chapter 5</t>
        </r>
      </text>
    </comment>
    <comment ref="CC19" authorId="0" shapeId="0" xr:uid="{00000000-0006-0000-0100-000020000000}">
      <text>
        <r>
          <rPr>
            <sz val="8"/>
            <color indexed="81"/>
            <rFont val="Tahoma"/>
            <family val="2"/>
          </rPr>
          <t xml:space="preserve">Appendix E-M
Chapter 5 (subsection 3)
</t>
        </r>
      </text>
    </comment>
    <comment ref="CN19" authorId="0" shapeId="0" xr:uid="{00000000-0006-0000-0100-000021000000}">
      <text>
        <r>
          <rPr>
            <sz val="8"/>
            <color indexed="81"/>
            <rFont val="Tahoma"/>
            <family val="2"/>
          </rPr>
          <t xml:space="preserve">Appendix E-M
Chapter 5 (subsection 3)
</t>
        </r>
      </text>
    </comment>
    <comment ref="DC19" authorId="0" shapeId="0" xr:uid="{00000000-0006-0000-0100-000022000000}">
      <text>
        <r>
          <rPr>
            <sz val="8"/>
            <color indexed="81"/>
            <rFont val="Tahoma"/>
            <family val="2"/>
          </rPr>
          <t xml:space="preserve">Appendix E-M
Chapter 5 (subsection 3)
</t>
        </r>
      </text>
    </comment>
    <comment ref="ET19" authorId="0" shapeId="0" xr:uid="{00000000-0006-0000-0100-000023000000}">
      <text>
        <r>
          <rPr>
            <sz val="8"/>
            <color indexed="81"/>
            <rFont val="Tahoma"/>
            <family val="2"/>
          </rPr>
          <t xml:space="preserve">Appendix E-M
Chapter 5 (subsection 3)
</t>
        </r>
      </text>
    </comment>
    <comment ref="EZ19" authorId="0" shapeId="0" xr:uid="{00000000-0006-0000-0100-000024000000}">
      <text>
        <r>
          <rPr>
            <sz val="8"/>
            <color indexed="81"/>
            <rFont val="Tahoma"/>
            <family val="2"/>
          </rPr>
          <t xml:space="preserve">Appendix E-M
Chapter 5 (subsection 3)
</t>
        </r>
      </text>
    </comment>
    <comment ref="CC21" authorId="0" shapeId="0" xr:uid="{00000000-0006-0000-0100-000025000000}">
      <text>
        <r>
          <rPr>
            <sz val="8"/>
            <color indexed="81"/>
            <rFont val="Tahoma"/>
            <family val="2"/>
          </rPr>
          <t>Information for annex 12</t>
        </r>
      </text>
    </comment>
    <comment ref="CN21" authorId="0" shapeId="0" xr:uid="{00000000-0006-0000-0100-000026000000}">
      <text>
        <r>
          <rPr>
            <sz val="8"/>
            <color indexed="81"/>
            <rFont val="Tahoma"/>
            <family val="2"/>
          </rPr>
          <t>Information for annex 12</t>
        </r>
      </text>
    </comment>
    <comment ref="DC21" authorId="0" shapeId="0" xr:uid="{00000000-0006-0000-0100-000027000000}">
      <text>
        <r>
          <rPr>
            <sz val="8"/>
            <color indexed="81"/>
            <rFont val="Tahoma"/>
            <family val="2"/>
          </rPr>
          <t>Information for annex 12</t>
        </r>
      </text>
    </comment>
  </commentList>
</comments>
</file>

<file path=xl/sharedStrings.xml><?xml version="1.0" encoding="utf-8"?>
<sst xmlns="http://schemas.openxmlformats.org/spreadsheetml/2006/main" count="466" uniqueCount="376">
  <si>
    <t>Duplex</t>
  </si>
  <si>
    <t>Gerätetyp</t>
  </si>
  <si>
    <t>Auswahl</t>
  </si>
  <si>
    <t>Methode</t>
  </si>
  <si>
    <t>ISO/IEC 10561 (Dr.-Grauert Brief)</t>
  </si>
  <si>
    <t>Monochrom_Farbe</t>
  </si>
  <si>
    <t>Aktivierungszeit</t>
  </si>
  <si>
    <t>taE [min]</t>
  </si>
  <si>
    <t>tbE [min]</t>
  </si>
  <si>
    <t>tcE [min]</t>
  </si>
  <si>
    <t>Modus für t2R?</t>
  </si>
  <si>
    <t>Modus für t3R?</t>
  </si>
  <si>
    <t>Prüfung: Anforderung 3.4.3 an (nicht)-Deaktivierung dieses.Zustands erfüllt?</t>
  </si>
  <si>
    <t>Ausnahme</t>
  </si>
  <si>
    <t>Hauptfunktion</t>
  </si>
  <si>
    <t>yes</t>
  </si>
  <si>
    <t>no</t>
  </si>
  <si>
    <t>Ruhezustand</t>
  </si>
  <si>
    <r>
      <t>Z</t>
    </r>
    <r>
      <rPr>
        <vertAlign val="subscript"/>
        <sz val="10"/>
        <rFont val="Arial"/>
        <family val="2"/>
      </rPr>
      <t>a</t>
    </r>
  </si>
  <si>
    <r>
      <t>Z</t>
    </r>
    <r>
      <rPr>
        <vertAlign val="subscript"/>
        <sz val="10"/>
        <rFont val="Arial"/>
        <family val="2"/>
      </rPr>
      <t>b</t>
    </r>
  </si>
  <si>
    <r>
      <t>Z</t>
    </r>
    <r>
      <rPr>
        <vertAlign val="subscript"/>
        <sz val="10"/>
        <rFont val="Arial"/>
        <family val="2"/>
      </rPr>
      <t>c</t>
    </r>
  </si>
  <si>
    <r>
      <t>Z</t>
    </r>
    <r>
      <rPr>
        <vertAlign val="subscript"/>
        <sz val="10"/>
        <rFont val="Arial"/>
        <family val="2"/>
      </rPr>
      <t>d</t>
    </r>
  </si>
  <si>
    <t>mean value [dB]</t>
  </si>
  <si>
    <r>
      <t>S</t>
    </r>
    <r>
      <rPr>
        <vertAlign val="subscript"/>
        <sz val="10"/>
        <color indexed="8"/>
        <rFont val="Arial"/>
        <family val="2"/>
      </rPr>
      <t>p</t>
    </r>
  </si>
  <si>
    <r>
      <t>S</t>
    </r>
    <r>
      <rPr>
        <vertAlign val="subscript"/>
        <sz val="10"/>
        <color indexed="8"/>
        <rFont val="Arial"/>
        <family val="2"/>
      </rPr>
      <t>t</t>
    </r>
  </si>
  <si>
    <t>Report - No:</t>
  </si>
  <si>
    <r>
      <t xml:space="preserve">Eine korrekte Bewertung der Stromsparzustände (Aktivierungszeiten / Rückkehrzeiten) erfolgt erst dann, wenn </t>
    </r>
    <r>
      <rPr>
        <b/>
        <sz val="10"/>
        <rFont val="Arial"/>
        <family val="2"/>
      </rPr>
      <t>alle</t>
    </r>
    <r>
      <rPr>
        <sz val="10"/>
        <rFont val="Arial"/>
        <family val="2"/>
      </rPr>
      <t xml:space="preserve"> Eingaben zu allen Zuständen erfolgt sind!</t>
    </r>
  </si>
  <si>
    <t>Leerlaufzustände</t>
  </si>
  <si>
    <r>
      <t>Z</t>
    </r>
    <r>
      <rPr>
        <b/>
        <vertAlign val="subscript"/>
        <sz val="10"/>
        <rFont val="Arial"/>
        <family val="2"/>
      </rPr>
      <t>f</t>
    </r>
    <r>
      <rPr>
        <b/>
        <sz val="10"/>
        <rFont val="Arial"/>
        <family val="2"/>
      </rPr>
      <t>: P</t>
    </r>
    <r>
      <rPr>
        <b/>
        <vertAlign val="subscript"/>
        <sz val="10"/>
        <rFont val="Arial"/>
        <family val="2"/>
      </rPr>
      <t xml:space="preserve">f </t>
    </r>
    <r>
      <rPr>
        <b/>
        <sz val="10"/>
        <rFont val="Arial"/>
        <family val="2"/>
      </rPr>
      <t>[Watt]</t>
    </r>
  </si>
  <si>
    <t>inks, gels or solid inks (waxes)</t>
  </si>
  <si>
    <t>by default</t>
  </si>
  <si>
    <t>printing</t>
  </si>
  <si>
    <t>copying</t>
  </si>
  <si>
    <t>please enter if applicable</t>
  </si>
  <si>
    <t>after end of printing process</t>
  </si>
  <si>
    <t>after beginning of previous mode</t>
  </si>
  <si>
    <r>
      <t>Z</t>
    </r>
    <r>
      <rPr>
        <vertAlign val="subscript"/>
        <sz val="10"/>
        <rFont val="Arial"/>
        <family val="2"/>
      </rPr>
      <t>f</t>
    </r>
  </si>
  <si>
    <t>not necessary (Appendix B-M)</t>
  </si>
  <si>
    <t>Type:</t>
  </si>
  <si>
    <t>Primary Functions</t>
  </si>
  <si>
    <t>Printing</t>
  </si>
  <si>
    <t>Copying</t>
  </si>
  <si>
    <t>Sending and Receiving of Electronic Messages and Faxes</t>
  </si>
  <si>
    <t>Page Throughput</t>
  </si>
  <si>
    <t>measured by:</t>
  </si>
  <si>
    <t>Criteria: Return Times</t>
  </si>
  <si>
    <r>
      <t>t</t>
    </r>
    <r>
      <rPr>
        <vertAlign val="subscript"/>
        <sz val="10"/>
        <rFont val="Arial"/>
        <family val="2"/>
      </rPr>
      <t>2a</t>
    </r>
    <r>
      <rPr>
        <sz val="10"/>
        <rFont val="Arial"/>
        <family val="2"/>
      </rPr>
      <t xml:space="preserve"> [min]: (time in which the device has to fulfil return time t</t>
    </r>
    <r>
      <rPr>
        <vertAlign val="subscript"/>
        <sz val="10"/>
        <rFont val="Arial"/>
        <family val="2"/>
      </rPr>
      <t>2r</t>
    </r>
    <r>
      <rPr>
        <sz val="10"/>
        <rFont val="Arial"/>
        <family val="2"/>
      </rPr>
      <t xml:space="preserve"> ) </t>
    </r>
  </si>
  <si>
    <r>
      <t>t</t>
    </r>
    <r>
      <rPr>
        <vertAlign val="subscript"/>
        <sz val="10"/>
        <rFont val="Arial"/>
        <family val="2"/>
      </rPr>
      <t>3a</t>
    </r>
    <r>
      <rPr>
        <sz val="10"/>
        <rFont val="Arial"/>
        <family val="2"/>
      </rPr>
      <t xml:space="preserve"> [min]: (time in which the device has to fulfil return time t</t>
    </r>
    <r>
      <rPr>
        <vertAlign val="subscript"/>
        <sz val="10"/>
        <rFont val="Arial"/>
        <family val="2"/>
      </rPr>
      <t>3r</t>
    </r>
    <r>
      <rPr>
        <sz val="10"/>
        <rFont val="Arial"/>
        <family val="2"/>
      </rPr>
      <t xml:space="preserve"> ) </t>
    </r>
  </si>
  <si>
    <r>
      <t>Activation time t</t>
    </r>
    <r>
      <rPr>
        <vertAlign val="subscript"/>
        <sz val="10"/>
        <rFont val="Arial"/>
        <family val="2"/>
      </rPr>
      <t>aA</t>
    </r>
    <r>
      <rPr>
        <sz val="10"/>
        <rFont val="Arial"/>
        <family val="2"/>
      </rPr>
      <t xml:space="preserve"> [min] (zero per definition)</t>
    </r>
  </si>
  <si>
    <t>Designation of this mode in Annex 8b:</t>
  </si>
  <si>
    <r>
      <t>Activation time t</t>
    </r>
    <r>
      <rPr>
        <vertAlign val="subscript"/>
        <sz val="10"/>
        <rFont val="Arial"/>
        <family val="2"/>
      </rPr>
      <t>bA</t>
    </r>
    <r>
      <rPr>
        <sz val="10"/>
        <rFont val="Arial"/>
        <family val="2"/>
      </rPr>
      <t xml:space="preserve"> [min] (after end of printing process): </t>
    </r>
  </si>
  <si>
    <t>User can deactivate this mode?:</t>
  </si>
  <si>
    <r>
      <t>Calculated Return Time t</t>
    </r>
    <r>
      <rPr>
        <vertAlign val="subscript"/>
        <sz val="10"/>
        <rFont val="Arial"/>
        <family val="2"/>
      </rPr>
      <t xml:space="preserve">bR </t>
    </r>
    <r>
      <rPr>
        <sz val="10"/>
        <rFont val="Arial"/>
        <family val="2"/>
      </rPr>
      <t>[sec]</t>
    </r>
  </si>
  <si>
    <r>
      <t>Activation time t</t>
    </r>
    <r>
      <rPr>
        <vertAlign val="subscript"/>
        <sz val="10"/>
        <rFont val="Arial"/>
        <family val="2"/>
      </rPr>
      <t xml:space="preserve">cA </t>
    </r>
    <r>
      <rPr>
        <sz val="10"/>
        <rFont val="Arial"/>
        <family val="2"/>
      </rPr>
      <t>starts after end of printing process or after start of idle mode Z</t>
    </r>
    <r>
      <rPr>
        <vertAlign val="subscript"/>
        <sz val="10"/>
        <rFont val="Arial"/>
        <family val="2"/>
      </rPr>
      <t>b</t>
    </r>
    <r>
      <rPr>
        <sz val="10"/>
        <rFont val="Arial"/>
        <family val="2"/>
      </rPr>
      <t xml:space="preserve"> (t</t>
    </r>
    <r>
      <rPr>
        <vertAlign val="subscript"/>
        <sz val="10"/>
        <rFont val="Arial"/>
        <family val="2"/>
      </rPr>
      <t>bA</t>
    </r>
    <r>
      <rPr>
        <sz val="10"/>
        <rFont val="Arial"/>
        <family val="2"/>
      </rPr>
      <t>)?</t>
    </r>
  </si>
  <si>
    <r>
      <t>Adjustable range of activation time t</t>
    </r>
    <r>
      <rPr>
        <vertAlign val="subscript"/>
        <sz val="10"/>
        <rFont val="Arial"/>
        <family val="2"/>
      </rPr>
      <t>bA</t>
    </r>
    <r>
      <rPr>
        <sz val="10"/>
        <rFont val="Arial"/>
        <family val="2"/>
      </rPr>
      <t xml:space="preserve"> [min] - shortest time:</t>
    </r>
  </si>
  <si>
    <r>
      <t>Adjustable range of activation time t</t>
    </r>
    <r>
      <rPr>
        <vertAlign val="subscript"/>
        <sz val="10"/>
        <rFont val="Arial"/>
        <family val="2"/>
      </rPr>
      <t>bA</t>
    </r>
    <r>
      <rPr>
        <sz val="10"/>
        <rFont val="Arial"/>
        <family val="2"/>
      </rPr>
      <t xml:space="preserve"> [min] - longest time:</t>
    </r>
  </si>
  <si>
    <r>
      <t>Adjustable range of activation time t</t>
    </r>
    <r>
      <rPr>
        <vertAlign val="subscript"/>
        <sz val="10"/>
        <rFont val="Arial"/>
        <family val="2"/>
      </rPr>
      <t>cA</t>
    </r>
    <r>
      <rPr>
        <sz val="10"/>
        <rFont val="Arial"/>
        <family val="2"/>
      </rPr>
      <t xml:space="preserve"> [min] - shortest time:</t>
    </r>
  </si>
  <si>
    <r>
      <t>Adjustable range of activation time t</t>
    </r>
    <r>
      <rPr>
        <vertAlign val="subscript"/>
        <sz val="10"/>
        <rFont val="Arial"/>
        <family val="2"/>
      </rPr>
      <t>cA</t>
    </r>
    <r>
      <rPr>
        <sz val="10"/>
        <rFont val="Arial"/>
        <family val="2"/>
      </rPr>
      <t xml:space="preserve"> [min] - longest time:</t>
    </r>
  </si>
  <si>
    <r>
      <t>Calculated t</t>
    </r>
    <r>
      <rPr>
        <vertAlign val="subscript"/>
        <sz val="10"/>
        <rFont val="Arial"/>
        <family val="2"/>
      </rPr>
      <t>cA</t>
    </r>
    <r>
      <rPr>
        <sz val="10"/>
        <rFont val="Arial"/>
        <family val="2"/>
      </rPr>
      <t xml:space="preserve"> [min] after end of printing process</t>
    </r>
  </si>
  <si>
    <r>
      <t>Calculated adjustable range of activation time t</t>
    </r>
    <r>
      <rPr>
        <vertAlign val="subscript"/>
        <sz val="10"/>
        <rFont val="Arial"/>
        <family val="2"/>
      </rPr>
      <t>cA</t>
    </r>
    <r>
      <rPr>
        <sz val="10"/>
        <rFont val="Arial"/>
        <family val="2"/>
      </rPr>
      <t xml:space="preserve"> [min] - shortest time:</t>
    </r>
  </si>
  <si>
    <r>
      <t>Calculated adjustable range of activation time t</t>
    </r>
    <r>
      <rPr>
        <vertAlign val="subscript"/>
        <sz val="10"/>
        <rFont val="Arial"/>
        <family val="2"/>
      </rPr>
      <t>cA</t>
    </r>
    <r>
      <rPr>
        <sz val="10"/>
        <rFont val="Arial"/>
        <family val="2"/>
      </rPr>
      <t xml:space="preserve"> [min] - longest time:</t>
    </r>
  </si>
  <si>
    <r>
      <t>Calculated Return Time t</t>
    </r>
    <r>
      <rPr>
        <vertAlign val="subscript"/>
        <sz val="10"/>
        <rFont val="Arial"/>
        <family val="2"/>
      </rPr>
      <t xml:space="preserve">cR </t>
    </r>
    <r>
      <rPr>
        <sz val="10"/>
        <rFont val="Arial"/>
        <family val="2"/>
      </rPr>
      <t>[sec]</t>
    </r>
  </si>
  <si>
    <t>tdE [min]</t>
  </si>
  <si>
    <r>
      <t>Adjustable range of activation time t</t>
    </r>
    <r>
      <rPr>
        <vertAlign val="subscript"/>
        <sz val="10"/>
        <rFont val="Arial"/>
        <family val="2"/>
      </rPr>
      <t>dA</t>
    </r>
    <r>
      <rPr>
        <sz val="10"/>
        <rFont val="Arial"/>
        <family val="2"/>
      </rPr>
      <t xml:space="preserve"> [min] - shortest time:</t>
    </r>
  </si>
  <si>
    <r>
      <t>Adjustable range of activation time t</t>
    </r>
    <r>
      <rPr>
        <vertAlign val="subscript"/>
        <sz val="10"/>
        <rFont val="Arial"/>
        <family val="2"/>
      </rPr>
      <t>dA</t>
    </r>
    <r>
      <rPr>
        <sz val="10"/>
        <rFont val="Arial"/>
        <family val="2"/>
      </rPr>
      <t xml:space="preserve"> [min] - longest time:</t>
    </r>
  </si>
  <si>
    <r>
      <t>Calculated t</t>
    </r>
    <r>
      <rPr>
        <vertAlign val="subscript"/>
        <sz val="10"/>
        <rFont val="Arial"/>
        <family val="2"/>
      </rPr>
      <t>dA</t>
    </r>
    <r>
      <rPr>
        <sz val="10"/>
        <rFont val="Arial"/>
        <family val="2"/>
      </rPr>
      <t xml:space="preserve"> [min] after end of printing process</t>
    </r>
  </si>
  <si>
    <r>
      <t>Calculated adjustable range of activation time t</t>
    </r>
    <r>
      <rPr>
        <vertAlign val="subscript"/>
        <sz val="10"/>
        <rFont val="Arial"/>
        <family val="2"/>
      </rPr>
      <t>dA</t>
    </r>
    <r>
      <rPr>
        <sz val="10"/>
        <rFont val="Arial"/>
        <family val="2"/>
      </rPr>
      <t xml:space="preserve"> [min] - shortest time:</t>
    </r>
  </si>
  <si>
    <r>
      <t>Calculated adjustable range of activation time t</t>
    </r>
    <r>
      <rPr>
        <vertAlign val="subscript"/>
        <sz val="10"/>
        <rFont val="Arial"/>
        <family val="2"/>
      </rPr>
      <t>dA</t>
    </r>
    <r>
      <rPr>
        <sz val="10"/>
        <rFont val="Arial"/>
        <family val="2"/>
      </rPr>
      <t xml:space="preserve"> [min] - longest time:</t>
    </r>
  </si>
  <si>
    <r>
      <t>Calculated Return Time t</t>
    </r>
    <r>
      <rPr>
        <vertAlign val="subscript"/>
        <sz val="10"/>
        <rFont val="Arial"/>
        <family val="2"/>
      </rPr>
      <t xml:space="preserve">dR </t>
    </r>
    <r>
      <rPr>
        <sz val="10"/>
        <rFont val="Arial"/>
        <family val="2"/>
      </rPr>
      <t>[sec]</t>
    </r>
  </si>
  <si>
    <t>Power consumption [Watt]</t>
  </si>
  <si>
    <t>Idle mode (not activ and automatically in the delivery status)</t>
  </si>
  <si>
    <t>Idle mode (activ and automatically in the delivery status by "clock-time")</t>
  </si>
  <si>
    <r>
      <t>Calculated Return Time t</t>
    </r>
    <r>
      <rPr>
        <vertAlign val="subscript"/>
        <sz val="10"/>
        <rFont val="Arial"/>
        <family val="2"/>
      </rPr>
      <t>fR</t>
    </r>
  </si>
  <si>
    <r>
      <t>Activation time t</t>
    </r>
    <r>
      <rPr>
        <vertAlign val="subscript"/>
        <sz val="10"/>
        <rFont val="Arial"/>
        <family val="2"/>
      </rPr>
      <t xml:space="preserve">cA </t>
    </r>
    <r>
      <rPr>
        <sz val="10"/>
        <rFont val="Arial"/>
        <family val="2"/>
      </rPr>
      <t xml:space="preserve">[min]: </t>
    </r>
  </si>
  <si>
    <r>
      <t>Activation time t</t>
    </r>
    <r>
      <rPr>
        <vertAlign val="subscript"/>
        <sz val="10"/>
        <rFont val="Arial"/>
        <family val="2"/>
      </rPr>
      <t xml:space="preserve">dA </t>
    </r>
    <r>
      <rPr>
        <sz val="10"/>
        <rFont val="Arial"/>
        <family val="2"/>
      </rPr>
      <t xml:space="preserve">[min]: </t>
    </r>
  </si>
  <si>
    <t>Power consumption for continuous operation (value for Annex 12)</t>
  </si>
  <si>
    <r>
      <t>(Calculated) Mode for t</t>
    </r>
    <r>
      <rPr>
        <vertAlign val="subscript"/>
        <sz val="10"/>
        <rFont val="Arial"/>
        <family val="2"/>
      </rPr>
      <t>2R</t>
    </r>
    <r>
      <rPr>
        <sz val="10"/>
        <rFont val="Arial"/>
        <family val="2"/>
      </rPr>
      <t>?</t>
    </r>
  </si>
  <si>
    <r>
      <t>(Calculated) Mode for t</t>
    </r>
    <r>
      <rPr>
        <vertAlign val="subscript"/>
        <sz val="10"/>
        <rFont val="Arial"/>
        <family val="2"/>
      </rPr>
      <t>3R</t>
    </r>
    <r>
      <rPr>
        <sz val="10"/>
        <rFont val="Arial"/>
        <family val="2"/>
      </rPr>
      <t>?</t>
    </r>
  </si>
  <si>
    <t>Prüflabor Emissionsprüfung</t>
  </si>
  <si>
    <t>WKI, Braunschweig</t>
  </si>
  <si>
    <t>IFA, Sankt Augustin</t>
  </si>
  <si>
    <t>BAM, Berlin</t>
  </si>
  <si>
    <t>Ricoh, Tokyo</t>
  </si>
  <si>
    <t>SCAS, Chiba</t>
  </si>
  <si>
    <t>Konica-Minolta, Mizuho and Hachioji</t>
  </si>
  <si>
    <t>Sharp Corporation, Environment Test Site, Nara</t>
  </si>
  <si>
    <t>Tokai Technology Center, Nagoya</t>
  </si>
  <si>
    <t>Samsung, Suwon</t>
  </si>
  <si>
    <t>Tisch/Standgerät</t>
  </si>
  <si>
    <t>Tischgerät</t>
  </si>
  <si>
    <t>Standgerät</t>
  </si>
  <si>
    <t>Grund</t>
  </si>
  <si>
    <t>Datum der Prüfung (Monat/Jahr)</t>
  </si>
  <si>
    <t>Prüfung nur für Farbdruck</t>
  </si>
  <si>
    <t>Bereitschaftsphase TVOC [mg/h]</t>
  </si>
  <si>
    <t>TVOC [mg/h]</t>
  </si>
  <si>
    <t>Benzol  [mg/h]</t>
  </si>
  <si>
    <t>Styrol  [mg/h]</t>
  </si>
  <si>
    <t>Nicht-identifizierte Einzelsubstanz  [mg/h]</t>
  </si>
  <si>
    <t>Ozon  [mg/h]</t>
  </si>
  <si>
    <t>Staub  [mg/h]</t>
  </si>
  <si>
    <t>Prüfergebnisse (Farbdruck)</t>
  </si>
  <si>
    <t>TÜV Rheinland LGA Products GmbH, Nürnberg</t>
  </si>
  <si>
    <t>Prüflabor:</t>
  </si>
  <si>
    <t>Dauer des Druckjobs (Farbe) [min]:</t>
  </si>
  <si>
    <t>Seitenzahlen  (Farbe) [Seiten]:</t>
  </si>
  <si>
    <r>
      <rPr>
        <b/>
        <sz val="10"/>
        <rFont val="Arial"/>
        <family val="2"/>
      </rPr>
      <t>Druckphase</t>
    </r>
    <r>
      <rPr>
        <sz val="10"/>
        <rFont val="Arial"/>
        <family val="2"/>
      </rPr>
      <t xml:space="preserve"> PER</t>
    </r>
    <r>
      <rPr>
        <vertAlign val="subscript"/>
        <sz val="10"/>
        <rFont val="Arial"/>
        <family val="2"/>
      </rPr>
      <t xml:space="preserve"> 10 PW</t>
    </r>
    <r>
      <rPr>
        <sz val="10"/>
        <rFont val="Arial"/>
        <family val="2"/>
      </rPr>
      <t xml:space="preserve"> [Partikel/10min x 10</t>
    </r>
    <r>
      <rPr>
        <vertAlign val="superscript"/>
        <sz val="10"/>
        <rFont val="Arial"/>
        <family val="2"/>
      </rPr>
      <t>11</t>
    </r>
    <r>
      <rPr>
        <sz val="10"/>
        <rFont val="Arial"/>
        <family val="2"/>
      </rPr>
      <t xml:space="preserve">] </t>
    </r>
  </si>
  <si>
    <t xml:space="preserve">Bereitschaftsphase TVOC [mg/h]                      </t>
  </si>
  <si>
    <t>Lexmark, Lexington</t>
  </si>
  <si>
    <t>Contract number: (to be filled-in by RAL gGmbH)</t>
  </si>
  <si>
    <r>
      <t xml:space="preserve">Alle anderen Felder sind geschützt und können </t>
    </r>
    <r>
      <rPr>
        <b/>
        <sz val="10"/>
        <rFont val="Arial"/>
        <family val="2"/>
      </rPr>
      <t>nicht</t>
    </r>
    <r>
      <rPr>
        <sz val="10"/>
        <rFont val="Arial"/>
        <family val="2"/>
      </rPr>
      <t xml:space="preserve"> bearbeitet werden</t>
    </r>
  </si>
  <si>
    <r>
      <t>Bitte füllen Sie nur das Blatt</t>
    </r>
    <r>
      <rPr>
        <b/>
        <sz val="10"/>
        <rFont val="Arial"/>
        <family val="2"/>
      </rPr>
      <t xml:space="preserve"> "Input-Evaluation" </t>
    </r>
    <r>
      <rPr>
        <sz val="10"/>
        <rFont val="Arial"/>
        <family val="2"/>
      </rPr>
      <t xml:space="preserve">aus. </t>
    </r>
  </si>
  <si>
    <r>
      <t xml:space="preserve">All other cells are protected and </t>
    </r>
    <r>
      <rPr>
        <b/>
        <sz val="10"/>
        <rFont val="Arial"/>
        <family val="2"/>
      </rPr>
      <t>cannot</t>
    </r>
    <r>
      <rPr>
        <sz val="10"/>
        <rFont val="Arial"/>
        <family val="2"/>
      </rPr>
      <t xml:space="preserve"> be edited.</t>
    </r>
  </si>
  <si>
    <t>Idle modes</t>
  </si>
  <si>
    <r>
      <t xml:space="preserve">Correct evaluation of the electric power saving modes (activation times/return times) will only be carried out when for all modes </t>
    </r>
    <r>
      <rPr>
        <b/>
        <sz val="10"/>
        <rFont val="Arial"/>
        <family val="2"/>
      </rPr>
      <t>all</t>
    </r>
    <r>
      <rPr>
        <sz val="10"/>
        <rFont val="Arial"/>
        <family val="2"/>
      </rPr>
      <t xml:space="preserve"> data entries or choices were made!</t>
    </r>
  </si>
  <si>
    <r>
      <t>Please fill in only the sheet "</t>
    </r>
    <r>
      <rPr>
        <b/>
        <sz val="10"/>
        <rFont val="Arial"/>
        <family val="2"/>
      </rPr>
      <t>Input-Evaluation"</t>
    </r>
    <r>
      <rPr>
        <sz val="10"/>
        <rFont val="Arial"/>
        <family val="2"/>
      </rPr>
      <t xml:space="preserve">. </t>
    </r>
  </si>
  <si>
    <t>Instructions</t>
  </si>
  <si>
    <t>Anleitung</t>
  </si>
  <si>
    <t>Designation of this mode in the user information (Annex 12):</t>
  </si>
  <si>
    <r>
      <t>Activation time t</t>
    </r>
    <r>
      <rPr>
        <vertAlign val="subscript"/>
        <sz val="10"/>
        <rFont val="Arial"/>
        <family val="2"/>
      </rPr>
      <t xml:space="preserve">dA </t>
    </r>
    <r>
      <rPr>
        <sz val="10"/>
        <rFont val="Arial"/>
        <family val="2"/>
      </rPr>
      <t>starts after end of printing process or after start of idle mode Z</t>
    </r>
    <r>
      <rPr>
        <vertAlign val="subscript"/>
        <sz val="10"/>
        <rFont val="Arial"/>
        <family val="2"/>
      </rPr>
      <t>c</t>
    </r>
    <r>
      <rPr>
        <sz val="10"/>
        <rFont val="Arial"/>
        <family val="2"/>
      </rPr>
      <t xml:space="preserve"> (t</t>
    </r>
    <r>
      <rPr>
        <vertAlign val="subscript"/>
        <sz val="10"/>
        <rFont val="Arial"/>
        <family val="2"/>
      </rPr>
      <t>cA</t>
    </r>
    <r>
      <rPr>
        <sz val="10"/>
        <rFont val="Arial"/>
        <family val="2"/>
      </rPr>
      <t>)?</t>
    </r>
  </si>
  <si>
    <r>
      <t xml:space="preserve">Maximum Value for Power Consumption for Sleep Mode </t>
    </r>
    <r>
      <rPr>
        <sz val="10"/>
        <color indexed="8"/>
        <rFont val="Arial"/>
        <family val="2"/>
      </rPr>
      <t>[Watt]</t>
    </r>
  </si>
  <si>
    <t>Power Consumption for Sleep Mode [Watt]</t>
  </si>
  <si>
    <t>The switch disconnect completely (Double pole)</t>
  </si>
  <si>
    <t xml:space="preserve">Criteria  3.1.4.2 (Duplex) fulfilled? </t>
  </si>
  <si>
    <t>General information</t>
  </si>
  <si>
    <r>
      <t>Maximum value of return time t</t>
    </r>
    <r>
      <rPr>
        <vertAlign val="subscript"/>
        <sz val="10"/>
        <rFont val="Arial"/>
        <family val="2"/>
      </rPr>
      <t>2r</t>
    </r>
    <r>
      <rPr>
        <sz val="10"/>
        <rFont val="Arial"/>
        <family val="2"/>
      </rPr>
      <t xml:space="preserve"> [sec]</t>
    </r>
  </si>
  <si>
    <r>
      <t>Maximum value of return time t</t>
    </r>
    <r>
      <rPr>
        <vertAlign val="subscript"/>
        <sz val="10"/>
        <rFont val="Arial"/>
        <family val="2"/>
      </rPr>
      <t>3r</t>
    </r>
    <r>
      <rPr>
        <sz val="10"/>
        <rFont val="Arial"/>
        <family val="2"/>
      </rPr>
      <t xml:space="preserve"> [sec]</t>
    </r>
  </si>
  <si>
    <t>Criteria: Upper limit of Activation time [min]</t>
  </si>
  <si>
    <t>Prüfung ob Drucker oder MFG</t>
  </si>
  <si>
    <t>Criteria TEC</t>
  </si>
  <si>
    <r>
      <t>Time required to complete a certain print job t</t>
    </r>
    <r>
      <rPr>
        <vertAlign val="subscript"/>
        <sz val="10"/>
        <rFont val="Arial"/>
        <family val="2"/>
      </rPr>
      <t>print,a</t>
    </r>
    <r>
      <rPr>
        <sz val="10"/>
        <rFont val="Arial"/>
        <family val="2"/>
      </rPr>
      <t xml:space="preserve"> [sec]:</t>
    </r>
  </si>
  <si>
    <r>
      <t xml:space="preserve">This print job </t>
    </r>
    <r>
      <rPr>
        <sz val="10"/>
        <rFont val="Arial"/>
        <family val="2"/>
      </rPr>
      <t>was started after the end of printing process [min] (target: after 2 min):</t>
    </r>
  </si>
  <si>
    <t>Criteria 3.4.2.2 (upper limit of activation time) fulfilled for this mode?</t>
  </si>
  <si>
    <r>
      <t>Time required to complete a certain print job t</t>
    </r>
    <r>
      <rPr>
        <vertAlign val="subscript"/>
        <sz val="10"/>
        <rFont val="Arial"/>
        <family val="2"/>
      </rPr>
      <t>print,b</t>
    </r>
    <r>
      <rPr>
        <sz val="10"/>
        <rFont val="Arial"/>
        <family val="2"/>
      </rPr>
      <t xml:space="preserve"> [sec]:</t>
    </r>
  </si>
  <si>
    <t>A (according Appendix E-M)</t>
  </si>
  <si>
    <t>B (according Appendix E-M)</t>
  </si>
  <si>
    <r>
      <t>If this time</t>
    </r>
    <r>
      <rPr>
        <sz val="10"/>
        <rFont val="Arial"/>
        <family val="2"/>
      </rPr>
      <t xml:space="preserve"> was &lt; 50 min: Exception A or B?</t>
    </r>
  </si>
  <si>
    <r>
      <t>Time required to complete a certain print job t</t>
    </r>
    <r>
      <rPr>
        <vertAlign val="subscript"/>
        <sz val="10"/>
        <rFont val="Arial"/>
        <family val="2"/>
      </rPr>
      <t>print,c</t>
    </r>
    <r>
      <rPr>
        <sz val="10"/>
        <rFont val="Arial"/>
        <family val="2"/>
      </rPr>
      <t xml:space="preserve"> [sec]:</t>
    </r>
  </si>
  <si>
    <r>
      <t>Time required to complete a certain print job t</t>
    </r>
    <r>
      <rPr>
        <vertAlign val="subscript"/>
        <sz val="10"/>
        <rFont val="Arial"/>
        <family val="2"/>
      </rPr>
      <t>print,d</t>
    </r>
    <r>
      <rPr>
        <sz val="10"/>
        <rFont val="Arial"/>
        <family val="2"/>
      </rPr>
      <t xml:space="preserve"> [sec]:</t>
    </r>
  </si>
  <si>
    <t>Sleep Mode (according 3.4.2)</t>
  </si>
  <si>
    <t>Activation time for Sleep Mode [Min]</t>
  </si>
  <si>
    <t>Maximal voreingestellte Aktivierungszeit für Drucker [Min]</t>
  </si>
  <si>
    <t>Maximal voreingestellte Aktivierungszeit für MFG [Min]</t>
  </si>
  <si>
    <t>Criteria 3.4.2 (Power consumtion for Sleep Mode) fulfilled?</t>
  </si>
  <si>
    <t>Criteria: Upper limit of Activation Times</t>
  </si>
  <si>
    <t>Number of devices:</t>
  </si>
  <si>
    <t>electrophotographic</t>
  </si>
  <si>
    <t>Doppleseitiger Druck bei kleinen Farbgeräten</t>
  </si>
  <si>
    <t>Doppleseitiger Druck bei kleinen sw-geräten</t>
  </si>
  <si>
    <t>only monochrome</t>
  </si>
  <si>
    <t>colour and monochrome</t>
  </si>
  <si>
    <t>The print job were started in the primary function and mode:</t>
  </si>
  <si>
    <t>Modus</t>
  </si>
  <si>
    <t>Highest possible power consumption (value for Annex 12)</t>
  </si>
  <si>
    <t>Primary function and mode this value (target printing):</t>
  </si>
  <si>
    <t>Highest power and power consumption for continuous operation</t>
  </si>
  <si>
    <t>printing/
monochrome</t>
  </si>
  <si>
    <t>printing/
colour</t>
  </si>
  <si>
    <t>copying/
monochrome</t>
  </si>
  <si>
    <t>copying/
colour</t>
  </si>
  <si>
    <t>measurement time for power consumption [min]</t>
  </si>
  <si>
    <r>
      <t>Value of Power Consumption at monochrome Printing (TEC</t>
    </r>
    <r>
      <rPr>
        <b/>
        <vertAlign val="subscript"/>
        <sz val="10"/>
        <rFont val="Arial"/>
        <family val="2"/>
      </rPr>
      <t>M</t>
    </r>
    <r>
      <rPr>
        <b/>
        <sz val="10"/>
        <rFont val="Arial"/>
        <family val="2"/>
      </rPr>
      <t>) according Annex 8c</t>
    </r>
  </si>
  <si>
    <t>Duplex?</t>
  </si>
  <si>
    <r>
      <t>Page Throughput DIN A4 monochrome</t>
    </r>
    <r>
      <rPr>
        <b/>
        <sz val="10"/>
        <rFont val="Arial"/>
        <family val="2"/>
      </rPr>
      <t xml:space="preserve"> (S</t>
    </r>
    <r>
      <rPr>
        <b/>
        <vertAlign val="subscript"/>
        <sz val="10"/>
        <rFont val="Arial"/>
        <family val="2"/>
      </rPr>
      <t>M</t>
    </r>
    <r>
      <rPr>
        <b/>
        <sz val="10"/>
        <rFont val="Arial"/>
        <family val="2"/>
      </rPr>
      <t>) Printing:</t>
    </r>
  </si>
  <si>
    <r>
      <t xml:space="preserve">Page Throughput DIN A4 Farbe
</t>
    </r>
    <r>
      <rPr>
        <b/>
        <sz val="10"/>
        <rFont val="Arial"/>
        <family val="2"/>
      </rPr>
      <t>(S</t>
    </r>
    <r>
      <rPr>
        <b/>
        <vertAlign val="subscript"/>
        <sz val="10"/>
        <rFont val="Arial"/>
        <family val="2"/>
      </rPr>
      <t>F</t>
    </r>
    <r>
      <rPr>
        <b/>
        <sz val="10"/>
        <rFont val="Arial"/>
        <family val="2"/>
      </rPr>
      <t>) Printing:</t>
    </r>
  </si>
  <si>
    <r>
      <t xml:space="preserve">Page Throughput DIN A4 monochrome </t>
    </r>
    <r>
      <rPr>
        <b/>
        <sz val="10"/>
        <rFont val="Arial"/>
        <family val="2"/>
      </rPr>
      <t>Copying:</t>
    </r>
  </si>
  <si>
    <r>
      <t xml:space="preserve">Page Throughput DIN A4 Farbe
</t>
    </r>
    <r>
      <rPr>
        <b/>
        <sz val="10"/>
        <rFont val="Arial"/>
        <family val="2"/>
      </rPr>
      <t>Copying:</t>
    </r>
  </si>
  <si>
    <t>Destined for use by private final consumers</t>
  </si>
  <si>
    <r>
      <t>Criteria 3.4.1 
(TEC</t>
    </r>
    <r>
      <rPr>
        <b/>
        <vertAlign val="subscript"/>
        <sz val="11"/>
        <rFont val="Arial"/>
        <family val="2"/>
      </rPr>
      <t>M</t>
    </r>
    <r>
      <rPr>
        <b/>
        <sz val="11"/>
        <rFont val="Arial"/>
        <family val="2"/>
      </rPr>
      <t xml:space="preserve"> ≤ TEC</t>
    </r>
    <r>
      <rPr>
        <b/>
        <vertAlign val="subscript"/>
        <sz val="11"/>
        <rFont val="Arial"/>
        <family val="2"/>
      </rPr>
      <t xml:space="preserve">MZul </t>
    </r>
    <r>
      <rPr>
        <b/>
        <sz val="11"/>
        <rFont val="Arial"/>
        <family val="2"/>
      </rPr>
      <t>) 
fulfilled?</t>
    </r>
  </si>
  <si>
    <r>
      <t>Criteria 3.4.3 (maximum return time t</t>
    </r>
    <r>
      <rPr>
        <b/>
        <vertAlign val="subscript"/>
        <sz val="10"/>
        <rFont val="Arial"/>
        <family val="2"/>
      </rPr>
      <t>3R</t>
    </r>
    <r>
      <rPr>
        <b/>
        <sz val="10"/>
        <rFont val="Arial"/>
        <family val="2"/>
      </rPr>
      <t xml:space="preserve"> fulfilled with this mode?</t>
    </r>
  </si>
  <si>
    <r>
      <t>Criteria 3.4.3 (maximum return time t</t>
    </r>
    <r>
      <rPr>
        <b/>
        <vertAlign val="subscript"/>
        <sz val="10"/>
        <rFont val="Arial"/>
        <family val="2"/>
      </rPr>
      <t>2R</t>
    </r>
    <r>
      <rPr>
        <b/>
        <sz val="10"/>
        <rFont val="Arial"/>
        <family val="2"/>
      </rPr>
      <t>) fulfilled with this mode?</t>
    </r>
  </si>
  <si>
    <t>User can enter this mode also with button/switch</t>
  </si>
  <si>
    <t>Total number of identical devices: (to be filled-in by RAL gGmbH)</t>
  </si>
  <si>
    <t>Mono-chrome/
Colour:</t>
  </si>
  <si>
    <r>
      <t>Ready Mode (Z</t>
    </r>
    <r>
      <rPr>
        <b/>
        <i/>
        <vertAlign val="subscript"/>
        <sz val="14"/>
        <rFont val="Arial"/>
        <family val="2"/>
      </rPr>
      <t>a</t>
    </r>
    <r>
      <rPr>
        <b/>
        <i/>
        <sz val="14"/>
        <rFont val="Arial"/>
        <family val="2"/>
      </rPr>
      <t>)</t>
    </r>
  </si>
  <si>
    <r>
      <t xml:space="preserve">Idle modes (only </t>
    </r>
    <r>
      <rPr>
        <b/>
        <i/>
        <u/>
        <sz val="14"/>
        <rFont val="Arial"/>
        <family val="2"/>
      </rPr>
      <t>activ</t>
    </r>
    <r>
      <rPr>
        <b/>
        <i/>
        <sz val="14"/>
        <rFont val="Arial"/>
        <family val="2"/>
      </rPr>
      <t xml:space="preserve"> and </t>
    </r>
    <r>
      <rPr>
        <b/>
        <i/>
        <u/>
        <sz val="14"/>
        <rFont val="Arial"/>
        <family val="2"/>
      </rPr>
      <t>automatically</t>
    </r>
    <r>
      <rPr>
        <b/>
        <i/>
        <sz val="14"/>
        <rFont val="Arial"/>
        <family val="2"/>
      </rPr>
      <t xml:space="preserve"> in the delivery status). Not suitable for auto-off!
Z</t>
    </r>
    <r>
      <rPr>
        <b/>
        <i/>
        <vertAlign val="subscript"/>
        <sz val="14"/>
        <rFont val="Arial"/>
        <family val="2"/>
      </rPr>
      <t>b</t>
    </r>
  </si>
  <si>
    <t>Idle modes (only activ and automatically in the delivery status). Not suitable for auto-off!
Zc</t>
  </si>
  <si>
    <t>Idle modes (only activ and automatically in the delivery status). Not suitable for auto-off!
Zd</t>
  </si>
  <si>
    <t xml:space="preserve">Sleep Mode
 is Idle-Mode? </t>
  </si>
  <si>
    <t>Upper limt for delay/activation time for Sleep Mode [Min]</t>
  </si>
  <si>
    <r>
      <t xml:space="preserve">The device has a </t>
    </r>
    <r>
      <rPr>
        <b/>
        <sz val="10"/>
        <rFont val="Arial"/>
        <family val="2"/>
      </rPr>
      <t>second</t>
    </r>
    <r>
      <rPr>
        <sz val="10"/>
        <rFont val="Arial"/>
        <family val="2"/>
      </rPr>
      <t xml:space="preserve"> switch for a mode with power consumption &lt;0,4W. (if more than one switch for off-mode enter </t>
    </r>
    <r>
      <rPr>
        <b/>
        <sz val="10"/>
        <rFont val="Arial"/>
        <family val="2"/>
      </rPr>
      <t>higher</t>
    </r>
    <r>
      <rPr>
        <sz val="10"/>
        <rFont val="Arial"/>
        <family val="2"/>
      </rPr>
      <t xml:space="preserve"> power consumption).</t>
    </r>
  </si>
  <si>
    <t>auto-off</t>
  </si>
  <si>
    <t>The device has an auto-off, power consumption corresponds to idle mode:</t>
  </si>
  <si>
    <t>Ze</t>
  </si>
  <si>
    <t>no auto-off</t>
  </si>
  <si>
    <t>Value of auto-off [Watt]</t>
  </si>
  <si>
    <r>
      <t>sound power level L</t>
    </r>
    <r>
      <rPr>
        <vertAlign val="subscript"/>
        <sz val="10"/>
        <color indexed="8"/>
        <rFont val="Arial"/>
        <family val="2"/>
      </rPr>
      <t>WA1,M</t>
    </r>
    <r>
      <rPr>
        <sz val="10"/>
        <color indexed="8"/>
        <rFont val="Arial"/>
        <family val="2"/>
      </rPr>
      <t xml:space="preserve">  [dB]</t>
    </r>
  </si>
  <si>
    <r>
      <t>sound power level L</t>
    </r>
    <r>
      <rPr>
        <vertAlign val="subscript"/>
        <sz val="10"/>
        <color indexed="8"/>
        <rFont val="Arial"/>
        <family val="2"/>
      </rPr>
      <t>WA2,M</t>
    </r>
    <r>
      <rPr>
        <sz val="10"/>
        <color indexed="8"/>
        <rFont val="Arial"/>
        <family val="2"/>
      </rPr>
      <t xml:space="preserve">  [dB]</t>
    </r>
  </si>
  <si>
    <r>
      <t>sound power level L</t>
    </r>
    <r>
      <rPr>
        <vertAlign val="subscript"/>
        <sz val="10"/>
        <color indexed="8"/>
        <rFont val="Arial"/>
        <family val="2"/>
      </rPr>
      <t>WA3,M</t>
    </r>
    <r>
      <rPr>
        <sz val="10"/>
        <color indexed="8"/>
        <rFont val="Arial"/>
        <family val="2"/>
      </rPr>
      <t xml:space="preserve">  [dB]</t>
    </r>
  </si>
  <si>
    <t>Geräuschemissionen nach 3.5</t>
  </si>
  <si>
    <t>Contract number of identical devices accoirding B-M: (to be filled-in by RAL gGmbH)</t>
  </si>
  <si>
    <r>
      <t>sound power level L</t>
    </r>
    <r>
      <rPr>
        <vertAlign val="subscript"/>
        <sz val="10"/>
        <color indexed="8"/>
        <rFont val="Arial"/>
        <family val="2"/>
      </rPr>
      <t xml:space="preserve">WA1,F  </t>
    </r>
    <r>
      <rPr>
        <sz val="10"/>
        <color indexed="8"/>
        <rFont val="Arial"/>
        <family val="2"/>
      </rPr>
      <t>[dB]</t>
    </r>
  </si>
  <si>
    <r>
      <t>sound power level L</t>
    </r>
    <r>
      <rPr>
        <vertAlign val="subscript"/>
        <sz val="10"/>
        <color indexed="8"/>
        <rFont val="Arial"/>
        <family val="2"/>
      </rPr>
      <t>WA2,F</t>
    </r>
    <r>
      <rPr>
        <sz val="10"/>
        <color indexed="8"/>
        <rFont val="Arial"/>
        <family val="2"/>
      </rPr>
      <t xml:space="preserve">  [dB]</t>
    </r>
  </si>
  <si>
    <r>
      <t>sound power level L</t>
    </r>
    <r>
      <rPr>
        <vertAlign val="subscript"/>
        <sz val="10"/>
        <color indexed="8"/>
        <rFont val="Arial"/>
        <family val="2"/>
      </rPr>
      <t>WA3,F</t>
    </r>
    <r>
      <rPr>
        <sz val="10"/>
        <color indexed="8"/>
        <rFont val="Arial"/>
        <family val="2"/>
      </rPr>
      <t xml:space="preserve">  [dB]</t>
    </r>
  </si>
  <si>
    <t>Noise emissions monochrome mode</t>
  </si>
  <si>
    <t>Measurement of noise emissions according 3.5?</t>
  </si>
  <si>
    <t>Noise emissions colour mode</t>
  </si>
  <si>
    <t>Prüfkammer-
volumen [m³]
VK:</t>
  </si>
  <si>
    <t>Volumen des 
Prüfobjekts [l]
VEUT:</t>
  </si>
  <si>
    <t>For UZ171 reports: If chamber size is &gt; 5 m³ revised report necessary</t>
  </si>
  <si>
    <t>Dauer des Druckjobs (Monochrome) [min]:</t>
  </si>
  <si>
    <t>Seitenzahlen  (monochrome) [Seiten]:</t>
  </si>
  <si>
    <t xml:space="preserve">(soll: 0,0025&lt;VEUT/VK &lt;0,25). 
Wenn &lt; 0,01: 
Luftvolumenstrom der Kammer ≤ 5 m³/h </t>
  </si>
  <si>
    <t>Canon, Tamagawa</t>
  </si>
  <si>
    <t>Kyocera Documenta Solutions, Osaka Test site</t>
  </si>
  <si>
    <t>Shimadzu Techno Research, Nakagyo-ku</t>
  </si>
  <si>
    <t>UL Environment, Marietta</t>
  </si>
  <si>
    <t>UL Verification Services, Nansha</t>
  </si>
  <si>
    <t>Chemische Emissionen, allgemeine Angaben</t>
  </si>
  <si>
    <t>VVOC</t>
  </si>
  <si>
    <t>Monochrome
/Colour:</t>
  </si>
  <si>
    <t>Tisch-/Standgerät:</t>
  </si>
  <si>
    <t>Prüfergebnisse (Monochrom-
druck)</t>
  </si>
  <si>
    <t>Druckphase (Summe Bereitschaftsphase + Druckphase) 
Monochromdruck</t>
  </si>
  <si>
    <t>Druckphase (Summe Bereitschaftsphase + Druckphase) 
Farbdruck</t>
  </si>
  <si>
    <t>Remarks noise measurement</t>
  </si>
  <si>
    <r>
      <t>Time required to complete a certain print job t</t>
    </r>
    <r>
      <rPr>
        <vertAlign val="subscript"/>
        <sz val="10"/>
        <rFont val="Arial"/>
        <family val="2"/>
      </rPr>
      <t>print,g</t>
    </r>
    <r>
      <rPr>
        <sz val="10"/>
        <rFont val="Arial"/>
        <family val="2"/>
      </rPr>
      <t xml:space="preserve"> [sec]:</t>
    </r>
  </si>
  <si>
    <r>
      <t>Activation time tg</t>
    </r>
    <r>
      <rPr>
        <vertAlign val="subscript"/>
        <sz val="10"/>
        <rFont val="Arial"/>
        <family val="2"/>
      </rPr>
      <t xml:space="preserve">A </t>
    </r>
    <r>
      <rPr>
        <sz val="10"/>
        <rFont val="Arial"/>
        <family val="2"/>
      </rPr>
      <t xml:space="preserve">[min] (after end of printing process): </t>
    </r>
  </si>
  <si>
    <r>
      <t>Adjustable range of activation time tg</t>
    </r>
    <r>
      <rPr>
        <vertAlign val="subscript"/>
        <sz val="10"/>
        <rFont val="Arial"/>
        <family val="2"/>
      </rPr>
      <t>A</t>
    </r>
    <r>
      <rPr>
        <sz val="10"/>
        <rFont val="Arial"/>
        <family val="2"/>
      </rPr>
      <t xml:space="preserve"> [min] - shortest time:</t>
    </r>
  </si>
  <si>
    <r>
      <t>Adjustable range of activation time tg</t>
    </r>
    <r>
      <rPr>
        <vertAlign val="subscript"/>
        <sz val="10"/>
        <rFont val="Arial"/>
        <family val="2"/>
      </rPr>
      <t>A</t>
    </r>
    <r>
      <rPr>
        <sz val="10"/>
        <rFont val="Arial"/>
        <family val="2"/>
      </rPr>
      <t xml:space="preserve"> [min] - longest time:</t>
    </r>
  </si>
  <si>
    <r>
      <t>Calculated Return Time tg</t>
    </r>
    <r>
      <rPr>
        <vertAlign val="subscript"/>
        <sz val="10"/>
        <rFont val="Arial"/>
        <family val="2"/>
      </rPr>
      <t>R</t>
    </r>
  </si>
  <si>
    <t>Zg: 
Pg [Watt]</t>
  </si>
  <si>
    <t>ISO/IEC 24734 (Print)</t>
  </si>
  <si>
    <t>ISO/IEC 24735 (Copy with ADF)</t>
  </si>
  <si>
    <t>ISO/IEC 29183 (Copy without ADF)</t>
  </si>
  <si>
    <t>Continous printing</t>
  </si>
  <si>
    <r>
      <t>Z</t>
    </r>
    <r>
      <rPr>
        <b/>
        <vertAlign val="subscript"/>
        <sz val="12"/>
        <rFont val="Arial"/>
        <family val="2"/>
      </rPr>
      <t>c</t>
    </r>
    <r>
      <rPr>
        <b/>
        <sz val="12"/>
        <rFont val="Arial"/>
        <family val="2"/>
      </rPr>
      <t>: 
Pc [Watt]</t>
    </r>
  </si>
  <si>
    <r>
      <t>Z</t>
    </r>
    <r>
      <rPr>
        <b/>
        <vertAlign val="subscript"/>
        <sz val="12"/>
        <rFont val="Arial"/>
        <family val="2"/>
      </rPr>
      <t>d</t>
    </r>
    <r>
      <rPr>
        <b/>
        <sz val="12"/>
        <rFont val="Arial"/>
        <family val="2"/>
      </rPr>
      <t>: 
P</t>
    </r>
    <r>
      <rPr>
        <b/>
        <vertAlign val="subscript"/>
        <sz val="12"/>
        <rFont val="Arial"/>
        <family val="2"/>
      </rPr>
      <t>d</t>
    </r>
    <r>
      <rPr>
        <b/>
        <sz val="12"/>
        <rFont val="Arial"/>
        <family val="2"/>
      </rPr>
      <t xml:space="preserve"> [Watt]</t>
    </r>
  </si>
  <si>
    <r>
      <t>Z</t>
    </r>
    <r>
      <rPr>
        <b/>
        <vertAlign val="subscript"/>
        <sz val="12"/>
        <rFont val="Arial"/>
        <family val="2"/>
      </rPr>
      <t>a</t>
    </r>
    <r>
      <rPr>
        <b/>
        <sz val="12"/>
        <rFont val="Arial"/>
        <family val="2"/>
      </rPr>
      <t xml:space="preserve"> (=Ready mode): 
P</t>
    </r>
    <r>
      <rPr>
        <b/>
        <vertAlign val="subscript"/>
        <sz val="12"/>
        <rFont val="Arial"/>
        <family val="2"/>
      </rPr>
      <t>a</t>
    </r>
    <r>
      <rPr>
        <b/>
        <sz val="12"/>
        <rFont val="Arial"/>
        <family val="2"/>
      </rPr>
      <t xml:space="preserve"> [Watt]</t>
    </r>
  </si>
  <si>
    <r>
      <t>Z</t>
    </r>
    <r>
      <rPr>
        <b/>
        <vertAlign val="subscript"/>
        <sz val="12"/>
        <rFont val="Arial"/>
        <family val="2"/>
      </rPr>
      <t>b</t>
    </r>
    <r>
      <rPr>
        <b/>
        <sz val="12"/>
        <rFont val="Arial"/>
        <family val="2"/>
      </rPr>
      <t>: 
P</t>
    </r>
    <r>
      <rPr>
        <b/>
        <vertAlign val="subscript"/>
        <sz val="12"/>
        <rFont val="Arial"/>
        <family val="2"/>
      </rPr>
      <t>b</t>
    </r>
    <r>
      <rPr>
        <b/>
        <sz val="12"/>
        <rFont val="Arial"/>
        <family val="2"/>
      </rPr>
      <t xml:space="preserve"> [Watt]</t>
    </r>
  </si>
  <si>
    <t>All cells highlighted in green can be filled in. Some cells will only then be highlighted in green and require the entry of data when other cells were already filled in.</t>
  </si>
  <si>
    <t>Editing is done by entering or choosing data; instructions on required editing measures are given.</t>
  </si>
  <si>
    <t>Cells highlighted in blue indicate compliance with criteria.</t>
  </si>
  <si>
    <t>It is reasonable to fill in the sheet left to right.</t>
  </si>
  <si>
    <t>Up to 4 idle modes (Za to Zd) activated in the delivery status of a device can be entered; the idle modes are to be entered in decreasing order of their power consumption. For the "activation" of a mode in this annex it is required to enter the respective power consumption. Then, all further data for this mode are to be entered or chosen.</t>
  </si>
  <si>
    <t>Alle grün unterlegten Felder können ausgefüllt werden. Einige Felder werden erst dann  grün hinterlegt, sobald die Eingabe in anderen Feldern die Eingabe von Daten verlangt.</t>
  </si>
  <si>
    <t xml:space="preserve">Die Bearbeitung erfolgt durch Eingabe oder Auswahl, einige Hinweisefelder  weisen auf die notwenige Bearbeitung hin. </t>
  </si>
  <si>
    <t>Gelbe Felder sind berechnete oder feste Vorgaben oder durch RAL auszufüllen.</t>
  </si>
  <si>
    <t>Cells highlighted in yellow are calculated or defined criteria or to be filled by RAL.</t>
  </si>
  <si>
    <t>Blaue Felder weisen auf die Einhaltung von Kriterien hin.</t>
  </si>
  <si>
    <t>Die Eingaben sinnvollerweise möglichst von links nach rechts durchführen.</t>
  </si>
  <si>
    <t>Es können bis zu 4 im Auslieferungszustand aktivierte Leerlaufzuzustände (Za bis Zd) eingegeben werden. Dabei diese in der Reihenfolge abnehmender Leistungsaufnahme eingeben. Zur "Aktivierung" eines Zustands in dieser Anlage ist es erforderlich, eine Leistungsaufnahme einzugeben. Anschließend sind zu diesem Zustand alle weiteren Angaben zu machen.</t>
  </si>
  <si>
    <t>Historie</t>
  </si>
  <si>
    <r>
      <t>This print job was</t>
    </r>
    <r>
      <rPr>
        <sz val="10"/>
        <rFont val="Arial"/>
        <family val="2"/>
      </rPr>
      <t xml:space="preserve"> started after the end of printing process [min] (target: </t>
    </r>
    <r>
      <rPr>
        <sz val="10"/>
        <rFont val="Calibri"/>
        <family val="2"/>
      </rPr>
      <t>≥</t>
    </r>
    <r>
      <rPr>
        <sz val="10"/>
        <rFont val="Arial"/>
        <family val="2"/>
      </rPr>
      <t xml:space="preserve"> 50 min):</t>
    </r>
  </si>
  <si>
    <r>
      <t>Criteria 3.4.3 (maximum return time t</t>
    </r>
    <r>
      <rPr>
        <b/>
        <vertAlign val="subscript"/>
        <sz val="10"/>
        <rFont val="Arial"/>
        <family val="2"/>
      </rPr>
      <t>2R)</t>
    </r>
    <r>
      <rPr>
        <b/>
        <sz val="10"/>
        <rFont val="Arial"/>
        <family val="2"/>
      </rPr>
      <t xml:space="preserve"> fulfilled with this mode?</t>
    </r>
  </si>
  <si>
    <t>Remarks energy</t>
  </si>
  <si>
    <t>General remarks</t>
  </si>
  <si>
    <t>Duplex Standard</t>
  </si>
  <si>
    <r>
      <t>Maximum TEC</t>
    </r>
    <r>
      <rPr>
        <vertAlign val="subscript"/>
        <sz val="10"/>
        <rFont val="Arial"/>
        <family val="2"/>
      </rPr>
      <t xml:space="preserve">MZul
</t>
    </r>
    <r>
      <rPr>
        <sz val="10"/>
        <rFont val="Arial"/>
        <family val="2"/>
      </rPr>
      <t>for reporting</t>
    </r>
  </si>
  <si>
    <r>
      <t>Value of Power Consumption (TEC</t>
    </r>
    <r>
      <rPr>
        <b/>
        <vertAlign val="subscript"/>
        <sz val="10"/>
        <rFont val="Arial"/>
        <family val="2"/>
      </rPr>
      <t>M</t>
    </r>
    <r>
      <rPr>
        <b/>
        <sz val="10"/>
        <rFont val="Arial"/>
        <family val="2"/>
      </rPr>
      <t>) for reporting (Annex 12)</t>
    </r>
  </si>
  <si>
    <t>Criteria 3.4.5 (user cannot deactivate this mode) fulfilled?</t>
  </si>
  <si>
    <t>(Additional to necessary data to demonstate the compliance with the criteria this documenta collects key device data which are necessary for the evaluation of the criteria)</t>
  </si>
  <si>
    <t>Version 2.0 TEC Test Reporting Fields</t>
  </si>
  <si>
    <t>Version 2.0 Caclulated Fields</t>
  </si>
  <si>
    <t>Monochrome Product Speed (ipm or mppm)</t>
  </si>
  <si>
    <t>Step 1: "Off Interval" Energy (Wh)</t>
  </si>
  <si>
    <t>Step 1: "Off Interval" Time (min)</t>
  </si>
  <si>
    <t>Step 3: "Active0" Time (min)</t>
  </si>
  <si>
    <t>Step 5: "Sleep Interval" Energy (Wh)</t>
  </si>
  <si>
    <t>Step 6: "Job1 Interval" Energy (Wh)</t>
  </si>
  <si>
    <t>Step 6: "Active1" Time (min)</t>
  </si>
  <si>
    <t>Step 7: "Job2 Interval" Energy (Wh)</t>
  </si>
  <si>
    <t>Step 7: "Active2" Time (min)</t>
  </si>
  <si>
    <t>Step 8: "Job3 Interval" Energy (Wh)</t>
  </si>
  <si>
    <t>Step 9: "Job4 Interval" Energy (Wh)</t>
  </si>
  <si>
    <t>Step 10: "Final Interval" Energy (Wh)</t>
  </si>
  <si>
    <t>Step 10: "Final Interval" Time (min)</t>
  </si>
  <si>
    <t>Step 11: "Auto-off Interval" Energy (Wh)</t>
  </si>
  <si>
    <t>Step 11: "Auto-off Interval" Time (min)</t>
  </si>
  <si>
    <t>Typical Energy Consumption (TEC) (kWh/wk)</t>
  </si>
  <si>
    <t>Column1</t>
  </si>
  <si>
    <t>Number of Jobs</t>
  </si>
  <si>
    <t>Vesion 2.0 Daily Job Energy (kWh)</t>
  </si>
  <si>
    <t>Version 2.0 TEC</t>
  </si>
  <si>
    <t>Version 3.0 TEC Test Reporting Fields</t>
  </si>
  <si>
    <t>Version 3.0 Caclulated Fields</t>
  </si>
  <si>
    <t>Step 3: "Active0" Time (s)</t>
  </si>
  <si>
    <t>Step 6: "Active1" Time (s)</t>
  </si>
  <si>
    <t>Step 7: "Active2" Time (s)</t>
  </si>
  <si>
    <t xml:space="preserve"> Typical Energy Consumption (TEC) (kWh/wk)</t>
  </si>
  <si>
    <t>Version 3.0 Daily Job Energy (kWh)</t>
  </si>
  <si>
    <r>
      <t>Version 3.0 TEC</t>
    </r>
    <r>
      <rPr>
        <b/>
        <vertAlign val="subscript"/>
        <sz val="9"/>
        <color rgb="FFFFFFFF"/>
        <rFont val="Arial"/>
        <family val="2"/>
      </rPr>
      <t xml:space="preserve">2018 </t>
    </r>
    <r>
      <rPr>
        <b/>
        <sz val="9"/>
        <color rgb="FFFFFFFF"/>
        <rFont val="Arial"/>
        <family val="2"/>
      </rPr>
      <t>(kWh/wk)</t>
    </r>
  </si>
  <si>
    <r>
      <t>Version 3.0 TEC</t>
    </r>
    <r>
      <rPr>
        <b/>
        <vertAlign val="subscript"/>
        <sz val="9"/>
        <color rgb="FFFFFFFF"/>
        <rFont val="Arial"/>
        <family val="2"/>
      </rPr>
      <t>2018</t>
    </r>
    <r>
      <rPr>
        <b/>
        <sz val="9"/>
        <color rgb="FFFFFFFF"/>
        <rFont val="Arial"/>
        <family val="2"/>
      </rPr>
      <t xml:space="preserve"> (kWh/yr)</t>
    </r>
  </si>
  <si>
    <r>
      <t>ENERGY STAR® Imaging Equipment
Version 2.0 TEC to TEC</t>
    </r>
    <r>
      <rPr>
        <vertAlign val="subscript"/>
        <sz val="24"/>
        <color theme="0"/>
        <rFont val="Calibri"/>
        <family val="2"/>
        <scheme val="minor"/>
      </rPr>
      <t>2018</t>
    </r>
    <r>
      <rPr>
        <sz val="24"/>
        <color theme="0"/>
        <rFont val="Calibri"/>
        <family val="2"/>
        <scheme val="minor"/>
      </rPr>
      <t xml:space="preserve"> Calculator</t>
    </r>
  </si>
  <si>
    <r>
      <t>Enclosed is the ENERGY STAR Imaging Equipment Version 2.0 TEC to TEC</t>
    </r>
    <r>
      <rPr>
        <vertAlign val="subscript"/>
        <sz val="14"/>
        <color theme="1"/>
        <rFont val="Calibri"/>
        <family val="2"/>
        <scheme val="minor"/>
      </rPr>
      <t>2018</t>
    </r>
    <r>
      <rPr>
        <sz val="14"/>
        <color theme="1"/>
        <rFont val="Calibri"/>
        <family val="2"/>
        <scheme val="minor"/>
      </rPr>
      <t xml:space="preserve"> Calculator. This calculator eases the task of calculating the  Version 3.0 Typical Electricity Consumption (TEC</t>
    </r>
    <r>
      <rPr>
        <vertAlign val="subscript"/>
        <sz val="14"/>
        <color theme="1"/>
        <rFont val="Calibri"/>
        <family val="2"/>
        <scheme val="minor"/>
      </rPr>
      <t>2018</t>
    </r>
    <r>
      <rPr>
        <sz val="14"/>
        <color theme="1"/>
        <rFont val="Calibri"/>
        <family val="2"/>
        <scheme val="minor"/>
      </rPr>
      <t xml:space="preserve">) based on Version 2.0 tests. The use of this calculator is optional. 
If you have any questions concerning this calculator, please contact Ryan Fogle, EPA, at Fogle.Ryan@epa.gov or 202-343-9153, or Matt Malinowski, ICF, at matt.malinowski@icf.com or 202-862-2693. For more information on ENERGY STAR Imaging Equipment specification development, please visit www.energystar.gov/RevisedSpecs and follow the link for “Imaging Equipment". </t>
    </r>
  </si>
  <si>
    <t>Name(s) of Device(s), identical accoprding annex 8a (without identical devcices (annex13):</t>
  </si>
  <si>
    <t>Name(s) of identical Device(s) (annex13):</t>
  </si>
  <si>
    <t>Inbox-code: (to be filled-in by RAL gGmbH)</t>
  </si>
  <si>
    <t>Date of application: (to be filled-in by RAL gGmbH)</t>
  </si>
  <si>
    <t>Manufacturer (1.5.1.2)</t>
  </si>
  <si>
    <t>Share of post-consumer recycled plastics (3.1.1.5) in g/device
(value F65 annex 4a)</t>
  </si>
  <si>
    <t>Share of post-consumer recycled plastics (3.1.1.5) in %/device
(value B13 annex 4a)</t>
  </si>
  <si>
    <t xml:space="preserve">Criteria  3.1.1 .5 (PCR) fulfilled? </t>
  </si>
  <si>
    <t>Erstantrag nach 1.1.2024 / PCR &gt; 5%</t>
  </si>
  <si>
    <t>5g enthalten (bis Erstantrag 1.1.2023)</t>
  </si>
  <si>
    <t>Base unit already certified according DE-UZ 205?</t>
  </si>
  <si>
    <t>If certified acc. DE-UZ 205: Blue Angel contract number of Base unit</t>
  </si>
  <si>
    <t>Erstantrag  1.1.2023 - 1.1.2024</t>
  </si>
  <si>
    <t>Erstantrag nach 1.1.2024</t>
  </si>
  <si>
    <t>Erstantrag 1.1.2023 - 1.1.2024/ PCR &gt; 1%</t>
  </si>
  <si>
    <t>Profes-sional device acc. 1.5.2.7</t>
  </si>
  <si>
    <t>Placed on the market for the first time 3.1.5.3)
DD/MM/YYYY</t>
  </si>
  <si>
    <t>Wireless network access point? (1.5.5.3)</t>
  </si>
  <si>
    <t>Off-mode (according 3.4.4)
Ze</t>
  </si>
  <si>
    <t>Off-mode (according 3.4.4)
Zf</t>
  </si>
  <si>
    <t>auto-off (acc. 3.4.4.2)</t>
  </si>
  <si>
    <r>
      <t xml:space="preserve">Maximum Value for Power Consumption for Off Mode  </t>
    </r>
    <r>
      <rPr>
        <sz val="10"/>
        <color indexed="8"/>
        <rFont val="Arial"/>
        <family val="2"/>
      </rPr>
      <t>[Watt]</t>
    </r>
  </si>
  <si>
    <t>Criteria 3.4.4.1 (Power consumtion for Off Mode)  fulfilled?</t>
  </si>
  <si>
    <r>
      <t xml:space="preserve">The device has a switch for a mode with power consumption &lt;0,4W. (if more than one switch for off-mode enter </t>
    </r>
    <r>
      <rPr>
        <b/>
        <u/>
        <sz val="10"/>
        <rFont val="Arial"/>
        <family val="2"/>
      </rPr>
      <t>lowest</t>
    </r>
    <r>
      <rPr>
        <sz val="10"/>
        <rFont val="Arial"/>
        <family val="2"/>
      </rPr>
      <t xml:space="preserve"> power consumption).</t>
    </r>
  </si>
  <si>
    <t>Criteria 3.4.4.2 Auto-off function)  fulfilled?</t>
  </si>
  <si>
    <t>Auto off eine Muss Anforderung? (Privat ohne Fax)</t>
  </si>
  <si>
    <t>Auto off eine Muss Anforderung? (Zeit)</t>
  </si>
  <si>
    <t>Preset at the time the device is delivered?</t>
  </si>
  <si>
    <t>Auto off hält Limit und Preset ein?</t>
  </si>
  <si>
    <t>Test site
(Company)</t>
  </si>
  <si>
    <r>
      <t xml:space="preserve">declared A-weighted sound power level  </t>
    </r>
    <r>
      <rPr>
        <i/>
        <sz val="10"/>
        <color indexed="8"/>
        <rFont val="Times New Roman"/>
        <family val="1"/>
      </rPr>
      <t>L</t>
    </r>
    <r>
      <rPr>
        <i/>
        <vertAlign val="subscript"/>
        <sz val="10"/>
        <color indexed="8"/>
        <rFont val="Times New Roman"/>
        <family val="1"/>
      </rPr>
      <t>W</t>
    </r>
    <r>
      <rPr>
        <vertAlign val="subscript"/>
        <sz val="10"/>
        <color indexed="8"/>
        <rFont val="Arial"/>
        <family val="2"/>
      </rPr>
      <t>Ac,mo</t>
    </r>
    <r>
      <rPr>
        <sz val="10"/>
        <color indexed="8"/>
        <rFont val="Arial"/>
        <family val="2"/>
      </rPr>
      <t xml:space="preserve"> [dB] (three devices)</t>
    </r>
  </si>
  <si>
    <r>
      <t xml:space="preserve">declared A-weighted sound power level  </t>
    </r>
    <r>
      <rPr>
        <i/>
        <sz val="10"/>
        <color indexed="8"/>
        <rFont val="Times New Roman"/>
        <family val="1"/>
      </rPr>
      <t>L</t>
    </r>
    <r>
      <rPr>
        <i/>
        <vertAlign val="subscript"/>
        <sz val="10"/>
        <color indexed="8"/>
        <rFont val="Times New Roman"/>
        <family val="1"/>
      </rPr>
      <t>W</t>
    </r>
    <r>
      <rPr>
        <vertAlign val="subscript"/>
        <sz val="10"/>
        <color indexed="8"/>
        <rFont val="Arial"/>
        <family val="2"/>
      </rPr>
      <t>Ac,mo</t>
    </r>
    <r>
      <rPr>
        <sz val="10"/>
        <color indexed="8"/>
        <rFont val="Arial"/>
        <family val="2"/>
      </rPr>
      <t xml:space="preserve"> [dB] (if only one device can be measuerd)</t>
    </r>
  </si>
  <si>
    <r>
      <t>limit value L</t>
    </r>
    <r>
      <rPr>
        <vertAlign val="subscript"/>
        <sz val="10"/>
        <color indexed="8"/>
        <rFont val="Arial"/>
        <family val="2"/>
      </rPr>
      <t xml:space="preserve">WA,lim,M </t>
    </r>
    <r>
      <rPr>
        <sz val="10"/>
        <color indexed="8"/>
        <rFont val="Arial"/>
        <family val="2"/>
      </rPr>
      <t>[dB]</t>
    </r>
  </si>
  <si>
    <r>
      <t>declared A-weighted sound power level  L</t>
    </r>
    <r>
      <rPr>
        <b/>
        <vertAlign val="subscript"/>
        <sz val="10"/>
        <rFont val="Arial"/>
        <family val="2"/>
      </rPr>
      <t>WAc,M</t>
    </r>
    <r>
      <rPr>
        <b/>
        <sz val="10"/>
        <rFont val="Arial"/>
        <family val="2"/>
      </rPr>
      <t xml:space="preserve"> ≤ L</t>
    </r>
    <r>
      <rPr>
        <b/>
        <vertAlign val="subscript"/>
        <sz val="10"/>
        <rFont val="Arial"/>
        <family val="2"/>
      </rPr>
      <t>WA,lim,M</t>
    </r>
    <r>
      <rPr>
        <b/>
        <sz val="10"/>
        <rFont val="Arial"/>
        <family val="2"/>
      </rPr>
      <t xml:space="preserve"> )</t>
    </r>
  </si>
  <si>
    <r>
      <t>declared A-weighted sound power level  L</t>
    </r>
    <r>
      <rPr>
        <vertAlign val="subscript"/>
        <sz val="10"/>
        <color indexed="8"/>
        <rFont val="Arial"/>
        <family val="2"/>
      </rPr>
      <t>WAc,co</t>
    </r>
    <r>
      <rPr>
        <sz val="10"/>
        <color indexed="8"/>
        <rFont val="Arial"/>
        <family val="2"/>
      </rPr>
      <t xml:space="preserve"> [dB] (three devices)</t>
    </r>
  </si>
  <si>
    <r>
      <t>declared A-weighted sound power level  L</t>
    </r>
    <r>
      <rPr>
        <vertAlign val="subscript"/>
        <sz val="10"/>
        <color indexed="8"/>
        <rFont val="Arial"/>
        <family val="2"/>
      </rPr>
      <t>WAc,co</t>
    </r>
    <r>
      <rPr>
        <sz val="10"/>
        <color indexed="8"/>
        <rFont val="Arial"/>
        <family val="2"/>
      </rPr>
      <t xml:space="preserve"> [dB] (if only one device can be measuerd)</t>
    </r>
  </si>
  <si>
    <r>
      <t>limit value L</t>
    </r>
    <r>
      <rPr>
        <vertAlign val="subscript"/>
        <sz val="10"/>
        <color indexed="8"/>
        <rFont val="Arial"/>
        <family val="2"/>
      </rPr>
      <t xml:space="preserve">WA,lim,F </t>
    </r>
    <r>
      <rPr>
        <sz val="10"/>
        <color indexed="8"/>
        <rFont val="Arial"/>
        <family val="2"/>
      </rPr>
      <t>[dB]</t>
    </r>
  </si>
  <si>
    <r>
      <t>declared A-weighted sound power level  L</t>
    </r>
    <r>
      <rPr>
        <b/>
        <vertAlign val="subscript"/>
        <sz val="10"/>
        <rFont val="Arial"/>
        <family val="2"/>
      </rPr>
      <t>WAc,F</t>
    </r>
    <r>
      <rPr>
        <b/>
        <sz val="10"/>
        <rFont val="Arial"/>
        <family val="2"/>
      </rPr>
      <t xml:space="preserve"> ≤ L</t>
    </r>
    <r>
      <rPr>
        <b/>
        <vertAlign val="subscript"/>
        <sz val="10"/>
        <rFont val="Arial"/>
        <family val="2"/>
      </rPr>
      <t>WA,lim,F</t>
    </r>
    <r>
      <rPr>
        <b/>
        <sz val="10"/>
        <rFont val="Arial"/>
        <family val="2"/>
      </rPr>
      <t xml:space="preserve"> )</t>
    </r>
  </si>
  <si>
    <t>limit value LWA,lim,F [dB]</t>
  </si>
  <si>
    <t>limit value LWA,lim,M [dB]</t>
  </si>
  <si>
    <r>
      <t>V</t>
    </r>
    <r>
      <rPr>
        <vertAlign val="subscript"/>
        <sz val="10"/>
        <rFont val="Arial"/>
        <family val="2"/>
      </rPr>
      <t>EUT</t>
    </r>
    <r>
      <rPr>
        <sz val="10"/>
        <rFont val="Arial"/>
        <family val="2"/>
      </rPr>
      <t>/VK</t>
    </r>
  </si>
  <si>
    <t>not quantifiable</t>
  </si>
  <si>
    <t>Prüfung
Test</t>
  </si>
  <si>
    <t>Test</t>
  </si>
  <si>
    <t>No test, device identical acc. appendix B-M reg. changes base unit</t>
  </si>
  <si>
    <t xml:space="preserve">No test, device identical acc. appendix B-M reg. page throughput </t>
  </si>
  <si>
    <t>Ab dem 01.01.2021 gilt der Prüfwert PER10 PW [Partikel/10min] von ≤ 3,5*1011.</t>
  </si>
  <si>
    <t>Ab dem 01.01.2023 gilt der Prüfwert PER10 PW [Partikel/10min] von ≤ 3,0*1011.</t>
  </si>
  <si>
    <t>Ab dem 01.01.2025 gilt der Prüfwert PER10 PW [Partikel/10min] von ≤ 2,5*1011.</t>
  </si>
  <si>
    <t>From 01.01.2021, the test value for PER10 PW [particles/10min] of ≤ 3.5*1011 is valid.</t>
  </si>
  <si>
    <t>From 01.01.2023, the test value for PER10 PW [particles/10min] of ≤ 3.0*1011 is valid.</t>
  </si>
  <si>
    <t>From 01.01.2025, the test value for PER10 PW [particles/10min] of ≤ 2.5*1011 is valid.</t>
  </si>
  <si>
    <t>Contract termination date (to be filled in by RAL gGmbH)</t>
  </si>
  <si>
    <t>Partikel Mnonochrom</t>
  </si>
  <si>
    <t>Parttikel Color</t>
  </si>
  <si>
    <t>Partikel (Gerät)</t>
  </si>
  <si>
    <t>Hilfsberechnung</t>
  </si>
  <si>
    <t>mono Speed（ipm）</t>
  </si>
  <si>
    <t>ENERGY STAR V3.0 (A4)</t>
    <phoneticPr fontId="1"/>
  </si>
  <si>
    <t>Color MFP</t>
  </si>
  <si>
    <t>ENERGY STAR V3.0 (A4)</t>
  </si>
  <si>
    <t>Color Printer</t>
  </si>
  <si>
    <t>Mono MFP</t>
  </si>
  <si>
    <t>Mono Printer</t>
  </si>
  <si>
    <t>ES 3.0 Berechnung Monochromdrucker</t>
  </si>
  <si>
    <t>ES 3.0Berechnung Farbdrucker</t>
  </si>
  <si>
    <t>ES 3.0 Berechnung Monochrom-MFG</t>
  </si>
  <si>
    <t>ES 3.0 Berechnung Farb-MFG</t>
  </si>
  <si>
    <t>TEC M Zul (ohne Adder)</t>
  </si>
  <si>
    <t>Adder A3 (acc ES 3.0)</t>
  </si>
  <si>
    <t>Adder-A3 Wert</t>
  </si>
  <si>
    <t>Adder-wifi Wert</t>
  </si>
  <si>
    <t>Adder Wi-Fi (acc ES 3.0), NOT for profes-sional devices allowed!</t>
  </si>
  <si>
    <t>TEC M Zul (without Adder) for Professional devices</t>
  </si>
  <si>
    <t>TEC M Zul (with Adder) for non-professional devices</t>
  </si>
  <si>
    <t>TEC M Zul (with Adder) for Professional devices</t>
  </si>
  <si>
    <r>
      <t>TEC</t>
    </r>
    <r>
      <rPr>
        <b/>
        <vertAlign val="subscript"/>
        <sz val="10"/>
        <rFont val="Arial"/>
        <family val="2"/>
      </rPr>
      <t>M</t>
    </r>
    <r>
      <rPr>
        <b/>
        <sz val="10"/>
        <rFont val="Arial"/>
        <family val="2"/>
      </rPr>
      <t xml:space="preserve"> calculated from ES 2.0? (use sheet "calculator ES 2.0-3.0"</t>
    </r>
  </si>
  <si>
    <t>Date of test
DD/MM/YYYY</t>
  </si>
  <si>
    <r>
      <t xml:space="preserve">Date of test
</t>
    </r>
    <r>
      <rPr>
        <sz val="10"/>
        <rFont val="Arial"/>
        <family val="2"/>
      </rPr>
      <t>DD/MM/YYYY</t>
    </r>
  </si>
  <si>
    <t>Version 1 vom 8.3.2021</t>
  </si>
  <si>
    <t xml:space="preserve">Anmerkungen
Chemische Emissionen
</t>
  </si>
  <si>
    <t xml:space="preserve">
Geprüftes baugleiches Gerät nach Anhang B-M (Vertragsnummer)</t>
  </si>
  <si>
    <t>These fields do not have to be filled in by the applicant</t>
  </si>
  <si>
    <t>to be filled in usually by RAL</t>
  </si>
  <si>
    <t>Version 2 vom 7.4.2021</t>
  </si>
  <si>
    <t>Preset activation time [Min]</t>
  </si>
  <si>
    <t>Version 3 vom 28.4.2021</t>
  </si>
  <si>
    <t>Annex 8a to the application according to DE-UZ 219 "Environmental Label for Office Equipment with Printing Function" (Version 3)</t>
  </si>
  <si>
    <t>FUJIFILM Business Innovation Corp., International Certification Centre, Ebina</t>
  </si>
  <si>
    <t>no duplex, software-supported option</t>
  </si>
  <si>
    <t>no duplex, no software-supported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</si>
</sst>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
    <numFmt numFmtId="167" formatCode="0.00000"/>
    <numFmt numFmtId="168" formatCode="[$-407]mmmm\ yy;@"/>
  </numFmts>
  <fonts count="53">
    <font>
      <sz val="10"/>
      <name val="Arial"/>
    </font>
    <font>
      <sz val="11"/>
      <color theme="1"/>
      <name val="Calibri"/>
      <family val="2"/>
      <scheme val="minor"/>
    </font>
    <font>
      <sz val="10"/>
      <name val="Arial"/>
      <family val="2"/>
    </font>
    <font>
      <sz val="8"/>
      <name val="Arial"/>
      <family val="2"/>
    </font>
    <font>
      <b/>
      <sz val="10"/>
      <name val="Arial"/>
      <family val="2"/>
    </font>
    <font>
      <sz val="10"/>
      <name val="Arial"/>
      <family val="2"/>
    </font>
    <font>
      <b/>
      <i/>
      <sz val="10"/>
      <name val="Arial"/>
      <family val="2"/>
    </font>
    <font>
      <b/>
      <u/>
      <sz val="10"/>
      <name val="Arial"/>
      <family val="2"/>
    </font>
    <font>
      <sz val="11"/>
      <name val="Arial"/>
      <family val="2"/>
    </font>
    <font>
      <sz val="10"/>
      <color indexed="10"/>
      <name val="Arial"/>
      <family val="2"/>
    </font>
    <font>
      <sz val="10"/>
      <color indexed="60"/>
      <name val="Arial"/>
      <family val="2"/>
    </font>
    <font>
      <vertAlign val="subscript"/>
      <sz val="10"/>
      <name val="Arial"/>
      <family val="2"/>
    </font>
    <font>
      <b/>
      <vertAlign val="subscript"/>
      <sz val="10"/>
      <name val="Arial"/>
      <family val="2"/>
    </font>
    <font>
      <b/>
      <sz val="10"/>
      <color indexed="10"/>
      <name val="Arial"/>
      <family val="2"/>
    </font>
    <font>
      <sz val="10"/>
      <color indexed="8"/>
      <name val="Arial"/>
      <family val="2"/>
    </font>
    <font>
      <vertAlign val="subscript"/>
      <sz val="10"/>
      <color indexed="8"/>
      <name val="Arial"/>
      <family val="2"/>
    </font>
    <font>
      <i/>
      <sz val="10"/>
      <color indexed="8"/>
      <name val="Times New Roman"/>
      <family val="1"/>
    </font>
    <font>
      <i/>
      <vertAlign val="subscript"/>
      <sz val="10"/>
      <color indexed="8"/>
      <name val="Times New Roman"/>
      <family val="1"/>
    </font>
    <font>
      <i/>
      <sz val="9"/>
      <name val="Arial"/>
      <family val="2"/>
    </font>
    <font>
      <sz val="8"/>
      <color indexed="81"/>
      <name val="Tahoma"/>
      <family val="2"/>
    </font>
    <font>
      <vertAlign val="superscript"/>
      <sz val="10"/>
      <name val="Arial"/>
      <family val="2"/>
    </font>
    <font>
      <sz val="8"/>
      <name val="Arial"/>
      <family val="2"/>
    </font>
    <font>
      <b/>
      <sz val="11"/>
      <color indexed="8"/>
      <name val="Arial"/>
      <family val="2"/>
    </font>
    <font>
      <b/>
      <i/>
      <sz val="11"/>
      <name val="Arial"/>
      <family val="2"/>
    </font>
    <font>
      <i/>
      <sz val="11"/>
      <name val="Arial"/>
      <family val="2"/>
    </font>
    <font>
      <sz val="10"/>
      <color rgb="FFFF0000"/>
      <name val="Arial"/>
      <family val="2"/>
    </font>
    <font>
      <b/>
      <sz val="10"/>
      <color rgb="FFFF0000"/>
      <name val="Arial"/>
      <family val="2"/>
    </font>
    <font>
      <b/>
      <sz val="11"/>
      <name val="Arial"/>
      <family val="2"/>
    </font>
    <font>
      <b/>
      <vertAlign val="subscript"/>
      <sz val="11"/>
      <name val="Arial"/>
      <family val="2"/>
    </font>
    <font>
      <b/>
      <i/>
      <sz val="14"/>
      <name val="Arial"/>
      <family val="2"/>
    </font>
    <font>
      <b/>
      <i/>
      <u/>
      <sz val="14"/>
      <name val="Arial"/>
      <family val="2"/>
    </font>
    <font>
      <b/>
      <i/>
      <vertAlign val="subscript"/>
      <sz val="14"/>
      <name val="Arial"/>
      <family val="2"/>
    </font>
    <font>
      <b/>
      <sz val="8"/>
      <color rgb="FFFF0000"/>
      <name val="Arial"/>
      <family val="2"/>
    </font>
    <font>
      <b/>
      <sz val="12"/>
      <name val="Arial"/>
      <family val="2"/>
    </font>
    <font>
      <b/>
      <i/>
      <sz val="14"/>
      <color indexed="8"/>
      <name val="Arial"/>
      <family val="2"/>
    </font>
    <font>
      <b/>
      <i/>
      <sz val="12"/>
      <name val="Arial"/>
      <family val="2"/>
    </font>
    <font>
      <b/>
      <vertAlign val="subscript"/>
      <sz val="12"/>
      <name val="Arial"/>
      <family val="2"/>
    </font>
    <font>
      <sz val="10"/>
      <name val="Calibri"/>
      <family val="2"/>
    </font>
    <font>
      <sz val="10"/>
      <color rgb="FF000000"/>
      <name val="Arial"/>
      <family val="2"/>
    </font>
    <font>
      <b/>
      <sz val="10"/>
      <color rgb="FF000000"/>
      <name val="Arial"/>
      <family val="2"/>
    </font>
    <font>
      <b/>
      <sz val="9"/>
      <color rgb="FFFFFFFF"/>
      <name val="Arial"/>
      <family val="2"/>
    </font>
    <font>
      <sz val="9"/>
      <color theme="1"/>
      <name val="Arial"/>
      <family val="2"/>
    </font>
    <font>
      <b/>
      <vertAlign val="subscript"/>
      <sz val="9"/>
      <color rgb="FFFFFFFF"/>
      <name val="Arial"/>
      <family val="2"/>
    </font>
    <font>
      <sz val="24"/>
      <color theme="0"/>
      <name val="Calibri"/>
      <family val="2"/>
      <scheme val="minor"/>
    </font>
    <font>
      <vertAlign val="subscript"/>
      <sz val="24"/>
      <color theme="0"/>
      <name val="Calibri"/>
      <family val="2"/>
      <scheme val="minor"/>
    </font>
    <font>
      <sz val="24"/>
      <color theme="1"/>
      <name val="Calibri"/>
      <family val="2"/>
      <scheme val="minor"/>
    </font>
    <font>
      <sz val="14"/>
      <color theme="1"/>
      <name val="Calibri"/>
      <family val="2"/>
      <scheme val="minor"/>
    </font>
    <font>
      <vertAlign val="subscript"/>
      <sz val="14"/>
      <color theme="1"/>
      <name val="Calibri"/>
      <family val="2"/>
      <scheme val="minor"/>
    </font>
    <font>
      <sz val="9"/>
      <color indexed="81"/>
      <name val="Segoe UI"/>
      <family val="2"/>
    </font>
    <font>
      <sz val="12"/>
      <color theme="1"/>
      <name val="Calibri"/>
      <family val="2"/>
      <charset val="128"/>
      <scheme val="minor"/>
    </font>
    <font>
      <b/>
      <sz val="9"/>
      <color indexed="81"/>
      <name val="Segoe UI"/>
      <family val="2"/>
    </font>
    <font>
      <sz val="12"/>
      <name val="Arial"/>
      <family val="2"/>
    </font>
    <font>
      <sz val="9"/>
      <name val="Arial"/>
      <family val="2"/>
    </font>
  </fonts>
  <fills count="19">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rgb="FFFFFF99"/>
        <bgColor indexed="64"/>
      </patternFill>
    </fill>
    <fill>
      <patternFill patternType="solid">
        <fgColor rgb="FF5175B9"/>
        <bgColor rgb="FFFFFFFF"/>
      </patternFill>
    </fill>
    <fill>
      <patternFill patternType="solid">
        <fgColor rgb="FFFFFFFF"/>
        <bgColor rgb="FFFFFFFF"/>
      </patternFill>
    </fill>
    <fill>
      <patternFill patternType="solid">
        <fgColor theme="3"/>
        <bgColor indexed="64"/>
      </patternFill>
    </fill>
    <fill>
      <patternFill patternType="solid">
        <fgColor theme="6" tint="0.39997558519241921"/>
        <bgColor rgb="FFFFFFFF"/>
      </patternFill>
    </fill>
    <fill>
      <patternFill patternType="solid">
        <fgColor theme="0" tint="-0.149998474074526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rgb="FFCACAD9"/>
      </right>
      <top style="thin">
        <color indexed="64"/>
      </top>
      <bottom style="thin">
        <color rgb="FFCACAD9"/>
      </bottom>
      <diagonal/>
    </border>
    <border>
      <left style="thin">
        <color rgb="FFCACAD9"/>
      </left>
      <right style="thin">
        <color rgb="FFCACAD9"/>
      </right>
      <top style="thin">
        <color indexed="64"/>
      </top>
      <bottom style="thin">
        <color rgb="FFCACAD9"/>
      </bottom>
      <diagonal/>
    </border>
    <border>
      <left style="thin">
        <color rgb="FFCACAD9"/>
      </left>
      <right style="thin">
        <color indexed="64"/>
      </right>
      <top style="thin">
        <color indexed="64"/>
      </top>
      <bottom style="thin">
        <color rgb="FFCACAD9"/>
      </bottom>
      <diagonal/>
    </border>
    <border>
      <left style="thin">
        <color indexed="64"/>
      </left>
      <right style="thin">
        <color rgb="FFCAC9D9"/>
      </right>
      <top style="thin">
        <color rgb="FFCAC9D9"/>
      </top>
      <bottom style="thin">
        <color indexed="64"/>
      </bottom>
      <diagonal/>
    </border>
    <border>
      <left style="thin">
        <color rgb="FFCAC9D9"/>
      </left>
      <right style="thin">
        <color rgb="FFCAC9D9"/>
      </right>
      <top style="thin">
        <color rgb="FFCAC9D9"/>
      </top>
      <bottom style="thin">
        <color indexed="64"/>
      </bottom>
      <diagonal/>
    </border>
    <border>
      <left style="thin">
        <color rgb="FFCAC9D9"/>
      </left>
      <right style="thin">
        <color indexed="64"/>
      </right>
      <top style="thin">
        <color rgb="FFCAC9D9"/>
      </top>
      <bottom style="thin">
        <color indexed="64"/>
      </bottom>
      <diagonal/>
    </border>
    <border>
      <left/>
      <right/>
      <top style="thin">
        <color rgb="FFCAC9D9"/>
      </top>
      <bottom/>
      <diagonal/>
    </border>
    <border>
      <left style="thin">
        <color rgb="FFCAC9D9"/>
      </left>
      <right style="thin">
        <color rgb="FFCAC9D9"/>
      </right>
      <top/>
      <bottom/>
      <diagonal/>
    </border>
    <border>
      <left style="thin">
        <color rgb="FFCAC9D9"/>
      </left>
      <right style="thin">
        <color rgb="FFCAC9D9"/>
      </right>
      <top style="thin">
        <color rgb="FFCAC9D9"/>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indexed="64"/>
      </left>
      <right style="thin">
        <color rgb="FFCACAD9"/>
      </right>
      <top style="thin">
        <color indexed="64"/>
      </top>
      <bottom/>
      <diagonal/>
    </border>
    <border>
      <left style="thin">
        <color rgb="FFCACAD9"/>
      </left>
      <right style="thin">
        <color rgb="FFCACAD9"/>
      </right>
      <top style="thin">
        <color indexed="64"/>
      </top>
      <bottom/>
      <diagonal/>
    </border>
    <border>
      <left style="thin">
        <color rgb="FFCACAD9"/>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4">
    <xf numFmtId="0" fontId="0" fillId="0" borderId="0"/>
    <xf numFmtId="0" fontId="38" fillId="0" borderId="0"/>
    <xf numFmtId="0" fontId="1" fillId="0" borderId="0"/>
    <xf numFmtId="0" fontId="49" fillId="0" borderId="0">
      <alignment vertical="center"/>
    </xf>
  </cellStyleXfs>
  <cellXfs count="368">
    <xf numFmtId="0" fontId="0" fillId="0" borderId="0" xfId="0"/>
    <xf numFmtId="0" fontId="4" fillId="0" borderId="0" xfId="0" applyFont="1"/>
    <xf numFmtId="0" fontId="5" fillId="0" borderId="0" xfId="0" applyFont="1"/>
    <xf numFmtId="0" fontId="6" fillId="0" borderId="0" xfId="0" applyFont="1" applyBorder="1"/>
    <xf numFmtId="0" fontId="0" fillId="9" borderId="0" xfId="0" applyFill="1"/>
    <xf numFmtId="0" fontId="0" fillId="9" borderId="0" xfId="0" applyFill="1" applyAlignment="1">
      <alignment vertical="center" wrapText="1"/>
    </xf>
    <xf numFmtId="0" fontId="5" fillId="9" borderId="0" xfId="0" applyFont="1" applyFill="1" applyAlignment="1">
      <alignment vertical="center"/>
    </xf>
    <xf numFmtId="0" fontId="0" fillId="9" borderId="0" xfId="0" applyFill="1" applyAlignment="1">
      <alignment vertical="center"/>
    </xf>
    <xf numFmtId="0" fontId="4" fillId="9" borderId="0" xfId="0" applyFont="1" applyFill="1" applyAlignment="1">
      <alignment vertical="center"/>
    </xf>
    <xf numFmtId="0" fontId="5" fillId="9" borderId="0" xfId="0" applyFont="1" applyFill="1"/>
    <xf numFmtId="0" fontId="5" fillId="9" borderId="0" xfId="0" applyFont="1" applyFill="1" applyAlignment="1">
      <alignment vertical="center" wrapText="1"/>
    </xf>
    <xf numFmtId="0" fontId="5" fillId="9" borderId="0" xfId="0" quotePrefix="1" applyFont="1" applyFill="1" applyAlignment="1">
      <alignment vertical="center"/>
    </xf>
    <xf numFmtId="0" fontId="7" fillId="9" borderId="0" xfId="0" applyFont="1" applyFill="1"/>
    <xf numFmtId="0" fontId="7" fillId="9" borderId="0" xfId="0" applyFont="1" applyFill="1" applyAlignment="1">
      <alignment vertical="center"/>
    </xf>
    <xf numFmtId="0" fontId="0" fillId="0" borderId="0" xfId="0" applyAlignment="1">
      <alignment wrapText="1"/>
    </xf>
    <xf numFmtId="0" fontId="2" fillId="0" borderId="0" xfId="0" applyFont="1" applyAlignment="1">
      <alignment wrapText="1"/>
    </xf>
    <xf numFmtId="0" fontId="2" fillId="0" borderId="0" xfId="0" applyFont="1"/>
    <xf numFmtId="49" fontId="5" fillId="6" borderId="1" xfId="0" applyNumberFormat="1" applyFont="1" applyFill="1" applyBorder="1" applyAlignment="1" applyProtection="1">
      <alignment horizontal="center" vertical="center" wrapText="1"/>
      <protection locked="0"/>
    </xf>
    <xf numFmtId="1" fontId="0" fillId="6" borderId="1" xfId="0" applyNumberFormat="1" applyFill="1" applyBorder="1" applyAlignment="1" applyProtection="1">
      <alignment horizontal="center" vertical="center" wrapText="1"/>
      <protection locked="0"/>
    </xf>
    <xf numFmtId="164" fontId="0" fillId="6" borderId="2" xfId="0" applyNumberFormat="1" applyFill="1" applyBorder="1" applyAlignment="1" applyProtection="1">
      <alignment horizontal="center" vertical="center" wrapText="1"/>
      <protection locked="0"/>
    </xf>
    <xf numFmtId="2" fontId="0" fillId="7" borderId="2" xfId="0" applyNumberFormat="1" applyFill="1" applyBorder="1" applyAlignment="1" applyProtection="1">
      <alignment horizontal="center" vertical="center" wrapText="1"/>
      <protection locked="0"/>
    </xf>
    <xf numFmtId="0" fontId="0" fillId="0" borderId="0" xfId="0" applyAlignment="1">
      <alignment horizontal="center" vertical="center" wrapText="1"/>
    </xf>
    <xf numFmtId="164" fontId="0" fillId="6" borderId="1" xfId="0" applyNumberFormat="1" applyFill="1" applyBorder="1" applyAlignment="1" applyProtection="1">
      <alignment horizontal="center" vertical="center" wrapText="1"/>
      <protection locked="0"/>
    </xf>
    <xf numFmtId="0" fontId="25" fillId="0" borderId="0" xfId="0" applyFont="1"/>
    <xf numFmtId="2" fontId="3" fillId="6" borderId="2" xfId="0" applyNumberFormat="1" applyFont="1" applyFill="1" applyBorder="1" applyAlignment="1" applyProtection="1">
      <alignment horizontal="center" vertical="center" wrapText="1"/>
      <protection locked="0"/>
    </xf>
    <xf numFmtId="0" fontId="0" fillId="4" borderId="1" xfId="0" applyFill="1" applyBorder="1" applyAlignment="1">
      <alignment vertical="center" wrapText="1"/>
    </xf>
    <xf numFmtId="0" fontId="0" fillId="0" borderId="0" xfId="0" applyAlignment="1">
      <alignment vertical="center"/>
    </xf>
    <xf numFmtId="0" fontId="2" fillId="4" borderId="1" xfId="0" applyFont="1" applyFill="1" applyBorder="1" applyAlignment="1">
      <alignment vertical="center" wrapText="1"/>
    </xf>
    <xf numFmtId="49" fontId="5" fillId="9" borderId="1" xfId="0" applyNumberFormat="1" applyFont="1" applyFill="1" applyBorder="1" applyAlignment="1" applyProtection="1">
      <alignment horizontal="center" vertical="center" wrapText="1"/>
      <protection locked="0"/>
    </xf>
    <xf numFmtId="2" fontId="0" fillId="9" borderId="1" xfId="0" applyNumberFormat="1" applyFill="1" applyBorder="1" applyAlignment="1" applyProtection="1">
      <alignment horizontal="center" vertical="center" wrapText="1"/>
      <protection locked="0"/>
    </xf>
    <xf numFmtId="1" fontId="0" fillId="9" borderId="1" xfId="0" applyNumberFormat="1" applyFill="1" applyBorder="1" applyAlignment="1" applyProtection="1">
      <alignment horizontal="center" vertical="center" wrapText="1"/>
      <protection locked="0"/>
    </xf>
    <xf numFmtId="2" fontId="0" fillId="7" borderId="1" xfId="0" applyNumberFormat="1" applyFill="1" applyBorder="1" applyAlignment="1" applyProtection="1">
      <alignment horizontal="center" vertical="center" wrapText="1"/>
      <protection locked="0"/>
    </xf>
    <xf numFmtId="2" fontId="0" fillId="9" borderId="10" xfId="0" applyNumberFormat="1" applyFill="1" applyBorder="1" applyAlignment="1" applyProtection="1">
      <alignment horizontal="center" vertical="center" wrapText="1"/>
      <protection locked="0"/>
    </xf>
    <xf numFmtId="2" fontId="4" fillId="9" borderId="22" xfId="0" applyNumberFormat="1" applyFont="1" applyFill="1" applyBorder="1" applyAlignment="1" applyProtection="1">
      <alignment horizontal="center" vertical="center" wrapText="1"/>
      <protection locked="0"/>
    </xf>
    <xf numFmtId="0" fontId="13" fillId="0" borderId="12" xfId="0" applyFont="1" applyBorder="1" applyAlignment="1">
      <alignment horizontal="center" vertical="center" wrapText="1"/>
    </xf>
    <xf numFmtId="0" fontId="0" fillId="0" borderId="0" xfId="0" applyAlignment="1">
      <alignment horizontal="center" wrapText="1"/>
    </xf>
    <xf numFmtId="2" fontId="4" fillId="7" borderId="22" xfId="0" applyNumberFormat="1" applyFont="1" applyFill="1" applyBorder="1" applyAlignment="1" applyProtection="1">
      <alignment horizontal="center" vertical="center" wrapText="1"/>
      <protection locked="0"/>
    </xf>
    <xf numFmtId="1" fontId="4" fillId="6" borderId="4" xfId="0" applyNumberFormat="1" applyFont="1" applyFill="1" applyBorder="1" applyAlignment="1" applyProtection="1">
      <alignment horizontal="center" vertical="center" wrapText="1"/>
      <protection locked="0"/>
    </xf>
    <xf numFmtId="2" fontId="0" fillId="6" borderId="3" xfId="0" applyNumberFormat="1" applyFill="1" applyBorder="1" applyAlignment="1" applyProtection="1">
      <alignment horizontal="center" vertical="center" wrapText="1"/>
      <protection locked="0"/>
    </xf>
    <xf numFmtId="1" fontId="0" fillId="6" borderId="4" xfId="0" applyNumberFormat="1" applyFill="1" applyBorder="1" applyAlignment="1" applyProtection="1">
      <alignment horizontal="center" vertical="center" wrapText="1"/>
      <protection locked="0"/>
    </xf>
    <xf numFmtId="1" fontId="0" fillId="6" borderId="22" xfId="0" applyNumberFormat="1" applyFill="1" applyBorder="1" applyAlignment="1" applyProtection="1">
      <alignment horizontal="center" vertical="center" wrapText="1"/>
      <protection locked="0"/>
    </xf>
    <xf numFmtId="0" fontId="2" fillId="7" borderId="22" xfId="0" applyFont="1" applyFill="1" applyBorder="1" applyAlignment="1" applyProtection="1">
      <alignment horizontal="center" vertical="center" wrapText="1"/>
      <protection locked="0"/>
    </xf>
    <xf numFmtId="1" fontId="0" fillId="6" borderId="3" xfId="0" applyNumberFormat="1" applyFill="1" applyBorder="1" applyAlignment="1" applyProtection="1">
      <alignment horizontal="center" vertical="center" wrapText="1"/>
      <protection locked="0"/>
    </xf>
    <xf numFmtId="49" fontId="2" fillId="6" borderId="22" xfId="0" applyNumberFormat="1" applyFont="1" applyFill="1" applyBorder="1" applyAlignment="1" applyProtection="1">
      <alignment horizontal="center" vertical="center" wrapText="1"/>
      <protection locked="0"/>
    </xf>
    <xf numFmtId="1" fontId="0" fillId="5" borderId="22" xfId="0" applyNumberFormat="1" applyFill="1" applyBorder="1" applyAlignment="1" applyProtection="1">
      <alignment horizontal="center" vertical="center" wrapText="1"/>
      <protection locked="0"/>
    </xf>
    <xf numFmtId="1" fontId="2" fillId="6" borderId="22" xfId="0" applyNumberFormat="1" applyFont="1" applyFill="1" applyBorder="1" applyAlignment="1" applyProtection="1">
      <alignment horizontal="center" vertical="center" wrapText="1"/>
      <protection locked="0"/>
    </xf>
    <xf numFmtId="2" fontId="0" fillId="6" borderId="4" xfId="0" applyNumberFormat="1" applyFill="1" applyBorder="1" applyAlignment="1" applyProtection="1">
      <alignment horizontal="center" vertical="center" wrapText="1"/>
      <protection locked="0"/>
    </xf>
    <xf numFmtId="166" fontId="2" fillId="7" borderId="3" xfId="0" applyNumberFormat="1" applyFont="1" applyFill="1" applyBorder="1" applyAlignment="1" applyProtection="1">
      <alignment horizontal="center" vertical="center" wrapText="1"/>
      <protection locked="0"/>
    </xf>
    <xf numFmtId="166" fontId="2" fillId="12" borderId="4" xfId="0" applyNumberFormat="1" applyFont="1" applyFill="1" applyBorder="1" applyAlignment="1" applyProtection="1">
      <alignment horizontal="center" vertical="center" wrapText="1"/>
      <protection locked="0"/>
    </xf>
    <xf numFmtId="2" fontId="0" fillId="6" borderId="25" xfId="0" applyNumberFormat="1" applyFill="1" applyBorder="1" applyAlignment="1" applyProtection="1">
      <alignment horizontal="center" vertical="center" wrapText="1"/>
      <protection locked="0"/>
    </xf>
    <xf numFmtId="166" fontId="2" fillId="7" borderId="22" xfId="0" applyNumberFormat="1" applyFont="1" applyFill="1" applyBorder="1" applyAlignment="1" applyProtection="1">
      <alignment horizontal="center" vertical="center" wrapText="1"/>
      <protection locked="0"/>
    </xf>
    <xf numFmtId="164" fontId="0" fillId="7" borderId="4" xfId="0" applyNumberFormat="1" applyFill="1" applyBorder="1" applyAlignment="1" applyProtection="1">
      <alignment horizontal="center" vertical="center" wrapText="1"/>
      <protection locked="0"/>
    </xf>
    <xf numFmtId="164" fontId="0" fillId="7" borderId="22" xfId="0" applyNumberFormat="1" applyFill="1" applyBorder="1" applyAlignment="1" applyProtection="1">
      <alignment horizontal="center" vertical="center" wrapText="1"/>
      <protection locked="0"/>
    </xf>
    <xf numFmtId="0" fontId="0" fillId="7" borderId="22" xfId="0" applyFill="1" applyBorder="1" applyAlignment="1" applyProtection="1">
      <alignment horizontal="center" vertical="center" wrapText="1"/>
      <protection locked="0"/>
    </xf>
    <xf numFmtId="0" fontId="0" fillId="7" borderId="4" xfId="0" applyFill="1" applyBorder="1" applyAlignment="1" applyProtection="1">
      <alignment horizontal="center" vertical="center" wrapText="1"/>
      <protection locked="0"/>
    </xf>
    <xf numFmtId="2" fontId="2" fillId="9" borderId="1" xfId="0" applyNumberFormat="1" applyFont="1" applyFill="1" applyBorder="1" applyAlignment="1" applyProtection="1">
      <alignment horizontal="center" vertical="center" wrapText="1"/>
      <protection locked="0"/>
    </xf>
    <xf numFmtId="0" fontId="13" fillId="0" borderId="12" xfId="0" applyFont="1" applyBorder="1" applyAlignment="1">
      <alignment horizontal="center" vertical="center" wrapText="1"/>
    </xf>
    <xf numFmtId="0" fontId="24" fillId="0" borderId="0" xfId="0" applyFont="1" applyProtection="1"/>
    <xf numFmtId="0" fontId="23" fillId="9" borderId="13" xfId="0" applyFont="1" applyFill="1" applyBorder="1" applyAlignment="1" applyProtection="1">
      <alignment horizontal="center"/>
    </xf>
    <xf numFmtId="0" fontId="23" fillId="10" borderId="8" xfId="0" applyFont="1" applyFill="1" applyBorder="1" applyAlignment="1" applyProtection="1">
      <alignment wrapText="1"/>
    </xf>
    <xf numFmtId="0" fontId="24" fillId="9" borderId="0" xfId="0" applyFont="1" applyFill="1" applyProtection="1"/>
    <xf numFmtId="0" fontId="5" fillId="8" borderId="1" xfId="0" applyFont="1" applyFill="1" applyBorder="1" applyAlignment="1" applyProtection="1">
      <alignment horizontal="center" vertical="center" wrapText="1"/>
    </xf>
    <xf numFmtId="0" fontId="8" fillId="0" borderId="0" xfId="0" applyFont="1" applyProtection="1"/>
    <xf numFmtId="0" fontId="0" fillId="0" borderId="0" xfId="0" applyAlignment="1" applyProtection="1">
      <alignment wrapText="1"/>
    </xf>
    <xf numFmtId="0" fontId="4" fillId="4" borderId="5" xfId="0" applyFont="1" applyFill="1" applyBorder="1" applyAlignment="1" applyProtection="1">
      <alignment wrapText="1"/>
    </xf>
    <xf numFmtId="0" fontId="4" fillId="4" borderId="21" xfId="0" applyFont="1" applyFill="1" applyBorder="1" applyAlignment="1" applyProtection="1">
      <alignment wrapText="1"/>
    </xf>
    <xf numFmtId="0" fontId="4" fillId="5" borderId="21" xfId="0" applyFont="1" applyFill="1" applyBorder="1" applyAlignment="1" applyProtection="1">
      <alignment wrapText="1"/>
    </xf>
    <xf numFmtId="0" fontId="4" fillId="4" borderId="6" xfId="0" applyFont="1" applyFill="1" applyBorder="1" applyAlignment="1" applyProtection="1">
      <alignment wrapText="1"/>
    </xf>
    <xf numFmtId="0" fontId="2" fillId="4" borderId="5" xfId="0" applyFont="1" applyFill="1" applyBorder="1" applyAlignment="1" applyProtection="1">
      <alignment wrapText="1"/>
    </xf>
    <xf numFmtId="0" fontId="2" fillId="4" borderId="21" xfId="0" applyFont="1" applyFill="1" applyBorder="1" applyAlignment="1" applyProtection="1">
      <alignment wrapText="1"/>
    </xf>
    <xf numFmtId="0" fontId="2" fillId="4" borderId="6" xfId="0" applyFont="1" applyFill="1" applyBorder="1" applyAlignment="1" applyProtection="1">
      <alignment wrapText="1"/>
    </xf>
    <xf numFmtId="0" fontId="5" fillId="9" borderId="14" xfId="0" applyFont="1" applyFill="1" applyBorder="1" applyAlignment="1" applyProtection="1">
      <alignment wrapText="1"/>
    </xf>
    <xf numFmtId="0" fontId="5" fillId="2" borderId="21" xfId="0" applyFont="1" applyFill="1" applyBorder="1" applyAlignment="1" applyProtection="1">
      <alignment wrapText="1"/>
    </xf>
    <xf numFmtId="0" fontId="2" fillId="2" borderId="21" xfId="0" applyFont="1" applyFill="1" applyBorder="1" applyAlignment="1" applyProtection="1">
      <alignment wrapText="1"/>
    </xf>
    <xf numFmtId="0" fontId="4" fillId="3" borderId="21" xfId="0" applyFont="1" applyFill="1" applyBorder="1" applyAlignment="1" applyProtection="1">
      <alignment wrapText="1"/>
    </xf>
    <xf numFmtId="0" fontId="4" fillId="3" borderId="6" xfId="0" applyFont="1" applyFill="1" applyBorder="1" applyAlignment="1" applyProtection="1">
      <alignment wrapText="1"/>
    </xf>
    <xf numFmtId="0" fontId="6" fillId="9" borderId="19" xfId="0" applyFont="1" applyFill="1" applyBorder="1" applyAlignment="1" applyProtection="1">
      <alignment wrapText="1"/>
    </xf>
    <xf numFmtId="0" fontId="5" fillId="5" borderId="5" xfId="0" applyFont="1" applyFill="1" applyBorder="1" applyAlignment="1" applyProtection="1">
      <alignment horizontal="left" wrapText="1"/>
    </xf>
    <xf numFmtId="0" fontId="5" fillId="5" borderId="21" xfId="0" applyFont="1" applyFill="1" applyBorder="1" applyAlignment="1" applyProtection="1">
      <alignment horizontal="left" wrapText="1"/>
    </xf>
    <xf numFmtId="0" fontId="2" fillId="5" borderId="21" xfId="0" applyFont="1" applyFill="1" applyBorder="1" applyAlignment="1" applyProtection="1">
      <alignment horizontal="left" wrapText="1"/>
    </xf>
    <xf numFmtId="0" fontId="2" fillId="5" borderId="6" xfId="0" applyFont="1" applyFill="1" applyBorder="1" applyAlignment="1" applyProtection="1">
      <alignment wrapText="1"/>
    </xf>
    <xf numFmtId="0" fontId="2" fillId="2" borderId="9" xfId="0" applyFont="1" applyFill="1" applyBorder="1" applyAlignment="1" applyProtection="1">
      <alignment wrapText="1"/>
    </xf>
    <xf numFmtId="0" fontId="2" fillId="2" borderId="1" xfId="0" applyFont="1" applyFill="1" applyBorder="1" applyAlignment="1" applyProtection="1">
      <alignment wrapText="1"/>
    </xf>
    <xf numFmtId="0" fontId="2" fillId="9" borderId="20" xfId="0" applyFont="1" applyFill="1" applyBorder="1" applyAlignment="1" applyProtection="1">
      <alignment wrapText="1"/>
    </xf>
    <xf numFmtId="0" fontId="27" fillId="3" borderId="6" xfId="0" applyFont="1" applyFill="1" applyBorder="1" applyAlignment="1" applyProtection="1">
      <alignment horizontal="left" vertical="center" wrapText="1"/>
    </xf>
    <xf numFmtId="0" fontId="6" fillId="9" borderId="0" xfId="0" applyFont="1" applyFill="1" applyBorder="1" applyAlignment="1" applyProtection="1">
      <alignment wrapText="1"/>
    </xf>
    <xf numFmtId="0" fontId="0" fillId="5" borderId="21" xfId="0" applyFill="1" applyBorder="1" applyAlignment="1" applyProtection="1">
      <alignment wrapText="1"/>
    </xf>
    <xf numFmtId="0" fontId="0" fillId="2" borderId="21" xfId="0" applyFill="1" applyBorder="1" applyAlignment="1" applyProtection="1">
      <alignment wrapText="1"/>
    </xf>
    <xf numFmtId="0" fontId="4" fillId="3" borderId="11" xfId="0" applyFont="1" applyFill="1" applyBorder="1" applyAlignment="1" applyProtection="1">
      <alignment wrapText="1"/>
    </xf>
    <xf numFmtId="0" fontId="0" fillId="4" borderId="21" xfId="0" applyFill="1" applyBorder="1" applyAlignment="1" applyProtection="1">
      <alignment wrapText="1"/>
    </xf>
    <xf numFmtId="0" fontId="5" fillId="5" borderId="21" xfId="0" applyFont="1" applyFill="1" applyBorder="1" applyAlignment="1" applyProtection="1">
      <alignment wrapText="1"/>
    </xf>
    <xf numFmtId="0" fontId="2" fillId="5" borderId="21" xfId="0" applyFont="1" applyFill="1" applyBorder="1" applyAlignment="1" applyProtection="1">
      <alignment wrapText="1"/>
    </xf>
    <xf numFmtId="0" fontId="6" fillId="9" borderId="13" xfId="0" applyFont="1" applyFill="1" applyBorder="1" applyAlignment="1" applyProtection="1">
      <alignment wrapText="1"/>
    </xf>
    <xf numFmtId="0" fontId="5" fillId="4" borderId="21" xfId="0" applyFont="1" applyFill="1" applyBorder="1" applyAlignment="1" applyProtection="1">
      <alignment wrapText="1"/>
    </xf>
    <xf numFmtId="0" fontId="2" fillId="4" borderId="27" xfId="0" applyFont="1" applyFill="1" applyBorder="1" applyAlignment="1" applyProtection="1">
      <alignment wrapText="1"/>
    </xf>
    <xf numFmtId="0" fontId="5" fillId="4" borderId="6" xfId="0" applyFont="1" applyFill="1" applyBorder="1" applyAlignment="1" applyProtection="1">
      <alignment wrapText="1"/>
    </xf>
    <xf numFmtId="0" fontId="4" fillId="4" borderId="5"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4" fillId="4" borderId="21" xfId="0" applyFont="1" applyFill="1" applyBorder="1" applyAlignment="1" applyProtection="1">
      <alignment horizontal="center" vertical="center" wrapText="1"/>
    </xf>
    <xf numFmtId="0" fontId="14" fillId="5" borderId="21" xfId="0" applyFont="1" applyFill="1" applyBorder="1" applyAlignment="1" applyProtection="1">
      <alignment horizontal="center" vertical="center" wrapText="1"/>
    </xf>
    <xf numFmtId="0" fontId="14" fillId="2" borderId="21"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14" fillId="2" borderId="21" xfId="0" applyFont="1" applyFill="1" applyBorder="1" applyAlignment="1" applyProtection="1">
      <alignment vertical="top" wrapText="1"/>
    </xf>
    <xf numFmtId="0" fontId="14" fillId="5" borderId="21" xfId="0" applyFont="1" applyFill="1" applyBorder="1" applyAlignment="1" applyProtection="1">
      <alignment wrapText="1"/>
    </xf>
    <xf numFmtId="0" fontId="0" fillId="0" borderId="0" xfId="0" applyAlignment="1" applyProtection="1">
      <alignment vertical="center" wrapText="1"/>
    </xf>
    <xf numFmtId="0" fontId="0" fillId="4" borderId="4" xfId="0" applyFill="1" applyBorder="1" applyAlignment="1" applyProtection="1">
      <alignment horizontal="center" vertical="center" wrapText="1"/>
    </xf>
    <xf numFmtId="0" fontId="2" fillId="9" borderId="0" xfId="0" applyFont="1" applyFill="1" applyBorder="1" applyAlignment="1" applyProtection="1">
      <alignment horizontal="center" vertical="center" wrapText="1"/>
    </xf>
    <xf numFmtId="0" fontId="5" fillId="2" borderId="22" xfId="0" applyFont="1" applyFill="1" applyBorder="1" applyAlignment="1" applyProtection="1">
      <alignment horizontal="center" vertical="center" wrapText="1"/>
    </xf>
    <xf numFmtId="0" fontId="5" fillId="3" borderId="22" xfId="0" applyFont="1" applyFill="1" applyBorder="1" applyAlignment="1" applyProtection="1">
      <alignment horizontal="center" vertical="center" wrapText="1"/>
    </xf>
    <xf numFmtId="0" fontId="2" fillId="3" borderId="3" xfId="0" applyFont="1" applyFill="1" applyBorder="1" applyAlignment="1" applyProtection="1">
      <alignment horizontal="center" vertical="center" wrapText="1"/>
    </xf>
    <xf numFmtId="0" fontId="2" fillId="9" borderId="19" xfId="0" applyFont="1" applyFill="1" applyBorder="1" applyAlignment="1" applyProtection="1">
      <alignment horizontal="center" vertical="center" wrapText="1"/>
    </xf>
    <xf numFmtId="0" fontId="0" fillId="5" borderId="4" xfId="0" applyFill="1" applyBorder="1" applyAlignment="1" applyProtection="1">
      <alignment horizontal="center" vertical="center" wrapText="1"/>
    </xf>
    <xf numFmtId="0" fontId="0" fillId="5" borderId="22" xfId="0" applyFill="1" applyBorder="1" applyAlignment="1" applyProtection="1">
      <alignment horizontal="center" vertical="center" wrapText="1"/>
    </xf>
    <xf numFmtId="164" fontId="0" fillId="5" borderId="22" xfId="0" applyNumberFormat="1" applyFill="1" applyBorder="1" applyAlignment="1" applyProtection="1">
      <alignment horizontal="center" vertical="center" wrapText="1"/>
    </xf>
    <xf numFmtId="0" fontId="0" fillId="5" borderId="3" xfId="0" applyFill="1" applyBorder="1" applyAlignment="1" applyProtection="1">
      <alignment horizontal="center" vertical="center" wrapText="1"/>
    </xf>
    <xf numFmtId="167" fontId="0" fillId="2" borderId="9" xfId="0" applyNumberFormat="1" applyFill="1" applyBorder="1" applyAlignment="1" applyProtection="1">
      <alignment horizontal="center" vertical="center" wrapText="1"/>
    </xf>
    <xf numFmtId="167" fontId="0" fillId="2" borderId="1" xfId="0" applyNumberFormat="1" applyFill="1" applyBorder="1" applyAlignment="1" applyProtection="1">
      <alignment horizontal="center" vertical="center" wrapText="1"/>
    </xf>
    <xf numFmtId="167" fontId="0" fillId="9" borderId="12" xfId="0" applyNumberForma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9" borderId="7" xfId="0" applyFont="1" applyFill="1" applyBorder="1" applyAlignment="1" applyProtection="1">
      <alignment horizontal="center" vertical="center" wrapText="1"/>
    </xf>
    <xf numFmtId="164" fontId="4" fillId="5" borderId="22" xfId="0" applyNumberFormat="1" applyFont="1" applyFill="1" applyBorder="1" applyAlignment="1" applyProtection="1">
      <alignment horizontal="center" vertical="center" wrapText="1"/>
    </xf>
    <xf numFmtId="164" fontId="4" fillId="2" borderId="22" xfId="0" applyNumberFormat="1" applyFont="1" applyFill="1" applyBorder="1" applyAlignment="1" applyProtection="1">
      <alignment horizontal="center" vertical="center" wrapText="1"/>
    </xf>
    <xf numFmtId="167" fontId="0" fillId="2" borderId="22" xfId="0" applyNumberFormat="1" applyFill="1" applyBorder="1" applyAlignment="1" applyProtection="1">
      <alignment horizontal="center" vertical="center" wrapText="1"/>
    </xf>
    <xf numFmtId="0" fontId="5" fillId="3" borderId="23" xfId="0" applyFont="1" applyFill="1" applyBorder="1" applyAlignment="1" applyProtection="1">
      <alignment horizontal="center" vertical="center" wrapText="1"/>
    </xf>
    <xf numFmtId="167" fontId="0" fillId="5" borderId="22" xfId="0" applyNumberFormat="1" applyFill="1" applyBorder="1" applyAlignment="1" applyProtection="1">
      <alignment horizontal="center" vertical="center" wrapText="1"/>
    </xf>
    <xf numFmtId="1" fontId="2" fillId="5" borderId="22" xfId="0" applyNumberFormat="1"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167" fontId="2" fillId="5" borderId="22" xfId="0" applyNumberFormat="1" applyFont="1" applyFill="1" applyBorder="1" applyAlignment="1" applyProtection="1">
      <alignment horizontal="center" vertical="center" wrapText="1"/>
    </xf>
    <xf numFmtId="0" fontId="5" fillId="9" borderId="13" xfId="0" applyFont="1" applyFill="1" applyBorder="1" applyAlignment="1" applyProtection="1">
      <alignment horizontal="center" vertical="center" wrapText="1"/>
    </xf>
    <xf numFmtId="164" fontId="4" fillId="11" borderId="22" xfId="0" applyNumberFormat="1" applyFont="1" applyFill="1" applyBorder="1" applyAlignment="1" applyProtection="1">
      <alignment horizontal="center" vertical="center" wrapText="1"/>
    </xf>
    <xf numFmtId="2" fontId="2" fillId="5" borderId="22" xfId="0" applyNumberFormat="1" applyFont="1" applyFill="1" applyBorder="1" applyAlignment="1" applyProtection="1">
      <alignment horizontal="center" vertical="center" wrapText="1"/>
    </xf>
    <xf numFmtId="2" fontId="0" fillId="5" borderId="22" xfId="0" applyNumberFormat="1" applyFill="1" applyBorder="1" applyAlignment="1" applyProtection="1">
      <alignment horizontal="center" vertical="center" wrapText="1"/>
    </xf>
    <xf numFmtId="166" fontId="0" fillId="5" borderId="3" xfId="0" applyNumberFormat="1" applyFill="1" applyBorder="1" applyAlignment="1" applyProtection="1">
      <alignment horizontal="center" vertical="center" wrapText="1"/>
    </xf>
    <xf numFmtId="2" fontId="0" fillId="2" borderId="22" xfId="0" applyNumberFormat="1" applyFill="1" applyBorder="1" applyAlignment="1" applyProtection="1">
      <alignment horizontal="center" vertical="center" wrapText="1"/>
    </xf>
    <xf numFmtId="0" fontId="0" fillId="0" borderId="0" xfId="0" applyAlignment="1" applyProtection="1">
      <alignment horizontal="center" vertical="center" wrapText="1"/>
    </xf>
    <xf numFmtId="0" fontId="13" fillId="0" borderId="15" xfId="0" applyFont="1" applyBorder="1" applyAlignment="1" applyProtection="1">
      <alignment vertical="center" wrapText="1"/>
    </xf>
    <xf numFmtId="0" fontId="13" fillId="0" borderId="15" xfId="0" applyFont="1" applyBorder="1" applyAlignment="1" applyProtection="1">
      <alignment vertical="center"/>
    </xf>
    <xf numFmtId="0" fontId="13" fillId="9" borderId="16" xfId="0" applyFont="1" applyFill="1" applyBorder="1" applyAlignment="1" applyProtection="1">
      <alignment vertical="center"/>
    </xf>
    <xf numFmtId="0" fontId="13" fillId="0" borderId="16" xfId="0" applyFont="1" applyBorder="1" applyAlignment="1" applyProtection="1">
      <alignment vertical="center"/>
    </xf>
    <xf numFmtId="0" fontId="13" fillId="0" borderId="0" xfId="0" applyFont="1" applyAlignment="1" applyProtection="1">
      <alignment vertical="center"/>
    </xf>
    <xf numFmtId="0" fontId="13" fillId="9" borderId="0" xfId="0" applyFont="1" applyFill="1" applyAlignment="1" applyProtection="1">
      <alignment vertical="center"/>
    </xf>
    <xf numFmtId="0" fontId="13" fillId="0" borderId="16" xfId="0" applyFont="1" applyBorder="1" applyAlignment="1" applyProtection="1">
      <alignment horizontal="center" vertical="center"/>
    </xf>
    <xf numFmtId="0" fontId="13" fillId="0" borderId="15" xfId="0" applyFont="1" applyBorder="1" applyAlignment="1" applyProtection="1">
      <alignment horizontal="center" vertical="center" wrapText="1"/>
    </xf>
    <xf numFmtId="0" fontId="13" fillId="0" borderId="16" xfId="0" applyFont="1" applyBorder="1" applyAlignment="1" applyProtection="1">
      <alignment horizontal="center" vertical="center" wrapText="1"/>
    </xf>
    <xf numFmtId="0" fontId="13" fillId="0" borderId="0" xfId="0" applyFont="1" applyAlignment="1" applyProtection="1">
      <alignment horizontal="center" vertical="center" wrapText="1"/>
    </xf>
    <xf numFmtId="0" fontId="32" fillId="0" borderId="15" xfId="0" applyFont="1" applyBorder="1" applyAlignment="1" applyProtection="1">
      <alignment vertical="center" wrapText="1"/>
    </xf>
    <xf numFmtId="0" fontId="0" fillId="0" borderId="0" xfId="0" applyAlignment="1" applyProtection="1">
      <alignment vertical="center"/>
    </xf>
    <xf numFmtId="0" fontId="13" fillId="0" borderId="0" xfId="0" applyFont="1" applyBorder="1" applyAlignment="1" applyProtection="1">
      <alignment horizontal="center" vertical="center"/>
    </xf>
    <xf numFmtId="0" fontId="0" fillId="0" borderId="0" xfId="0" applyProtection="1"/>
    <xf numFmtId="0" fontId="0" fillId="4" borderId="1" xfId="0" applyFill="1" applyBorder="1" applyAlignment="1" applyProtection="1">
      <alignment wrapText="1"/>
    </xf>
    <xf numFmtId="0" fontId="10" fillId="9" borderId="0" xfId="0" applyFont="1" applyFill="1" applyProtection="1"/>
    <xf numFmtId="0" fontId="0" fillId="9" borderId="0" xfId="0" applyFill="1" applyProtection="1"/>
    <xf numFmtId="0" fontId="0" fillId="4" borderId="1" xfId="0" applyFill="1" applyBorder="1" applyAlignment="1" applyProtection="1">
      <alignment vertical="center" wrapText="1"/>
    </xf>
    <xf numFmtId="0" fontId="2" fillId="9" borderId="0" xfId="0" applyFont="1" applyFill="1" applyProtection="1"/>
    <xf numFmtId="0" fontId="13" fillId="0" borderId="12" xfId="0" applyFont="1" applyBorder="1" applyAlignment="1" applyProtection="1">
      <alignment horizontal="center" vertical="center"/>
    </xf>
    <xf numFmtId="0" fontId="13" fillId="0" borderId="12" xfId="0" applyFont="1" applyBorder="1" applyAlignment="1" applyProtection="1">
      <alignment horizontal="center" vertical="center" wrapText="1"/>
    </xf>
    <xf numFmtId="0" fontId="13" fillId="0" borderId="12" xfId="0" applyFont="1" applyBorder="1" applyAlignment="1" applyProtection="1">
      <alignment horizontal="center" wrapText="1"/>
    </xf>
    <xf numFmtId="0" fontId="0" fillId="0" borderId="0" xfId="0" applyAlignment="1" applyProtection="1">
      <alignment horizontal="center" vertical="center"/>
    </xf>
    <xf numFmtId="0" fontId="0" fillId="0" borderId="0" xfId="0" applyAlignment="1" applyProtection="1">
      <alignment horizontal="center" wrapText="1"/>
    </xf>
    <xf numFmtId="0" fontId="2" fillId="4" borderId="1" xfId="0" applyFont="1" applyFill="1" applyBorder="1" applyAlignment="1" applyProtection="1">
      <alignment vertical="center" wrapText="1"/>
    </xf>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wrapText="1"/>
    </xf>
    <xf numFmtId="164" fontId="0" fillId="0" borderId="0" xfId="0" applyNumberFormat="1" applyProtection="1"/>
    <xf numFmtId="0" fontId="2" fillId="0" borderId="0" xfId="0" applyFont="1" applyAlignment="1" applyProtection="1">
      <alignment vertical="center"/>
    </xf>
    <xf numFmtId="0" fontId="4" fillId="0" borderId="15" xfId="0" applyFont="1" applyBorder="1" applyAlignment="1" applyProtection="1">
      <alignment vertical="center" wrapText="1"/>
    </xf>
    <xf numFmtId="0" fontId="0" fillId="5" borderId="6" xfId="0" applyFill="1" applyBorder="1" applyAlignment="1" applyProtection="1">
      <alignment wrapText="1"/>
    </xf>
    <xf numFmtId="164" fontId="0" fillId="5" borderId="3" xfId="0" applyNumberFormat="1" applyFill="1" applyBorder="1" applyAlignment="1" applyProtection="1">
      <alignment horizontal="center" vertical="center" wrapText="1"/>
    </xf>
    <xf numFmtId="0" fontId="13" fillId="0" borderId="16" xfId="0" applyFont="1" applyBorder="1" applyAlignment="1" applyProtection="1">
      <alignment vertical="center" wrapText="1"/>
    </xf>
    <xf numFmtId="2" fontId="0" fillId="9" borderId="22" xfId="0" applyNumberFormat="1" applyFill="1" applyBorder="1" applyAlignment="1" applyProtection="1">
      <alignment horizontal="center" vertical="center" wrapText="1"/>
      <protection locked="0"/>
    </xf>
    <xf numFmtId="0" fontId="4" fillId="4" borderId="17"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5" fillId="8" borderId="5" xfId="0" applyFont="1" applyFill="1" applyBorder="1" applyAlignment="1" applyProtection="1">
      <alignment horizontal="center" vertical="center" wrapText="1"/>
    </xf>
    <xf numFmtId="0" fontId="2" fillId="8" borderId="21" xfId="0" applyFont="1" applyFill="1" applyBorder="1" applyAlignment="1" applyProtection="1">
      <alignment horizontal="center" vertical="center" wrapText="1"/>
    </xf>
    <xf numFmtId="0" fontId="5" fillId="8" borderId="21" xfId="0" applyFont="1" applyFill="1" applyBorder="1" applyAlignment="1" applyProtection="1">
      <alignment horizontal="center" vertical="center" wrapText="1"/>
    </xf>
    <xf numFmtId="0" fontId="5" fillId="8" borderId="6" xfId="0" applyFont="1" applyFill="1" applyBorder="1" applyAlignment="1" applyProtection="1">
      <alignment horizontal="center" vertical="center" wrapText="1"/>
    </xf>
    <xf numFmtId="1" fontId="21" fillId="13" borderId="22" xfId="0" applyNumberFormat="1" applyFont="1" applyFill="1" applyBorder="1" applyAlignment="1" applyProtection="1">
      <alignment horizontal="center" vertical="center" wrapText="1"/>
      <protection locked="0"/>
    </xf>
    <xf numFmtId="1" fontId="2" fillId="13" borderId="22" xfId="0" applyNumberFormat="1" applyFont="1" applyFill="1" applyBorder="1" applyAlignment="1" applyProtection="1">
      <alignment horizontal="center" vertical="center" wrapText="1"/>
      <protection locked="0"/>
    </xf>
    <xf numFmtId="164" fontId="0" fillId="13" borderId="22" xfId="0" applyNumberFormat="1" applyFill="1" applyBorder="1" applyAlignment="1" applyProtection="1">
      <alignment horizontal="center" vertical="center" wrapText="1"/>
      <protection locked="0"/>
    </xf>
    <xf numFmtId="2" fontId="0" fillId="13" borderId="22" xfId="0" applyNumberFormat="1" applyFill="1" applyBorder="1" applyAlignment="1" applyProtection="1">
      <alignment horizontal="center" vertical="center" wrapText="1"/>
      <protection locked="0"/>
    </xf>
    <xf numFmtId="168" fontId="0" fillId="13" borderId="22" xfId="0" applyNumberFormat="1" applyFill="1" applyBorder="1" applyAlignment="1" applyProtection="1">
      <alignment horizontal="center" vertical="center" wrapText="1"/>
      <protection locked="0"/>
    </xf>
    <xf numFmtId="2" fontId="2" fillId="13" borderId="22" xfId="0" applyNumberFormat="1" applyFont="1" applyFill="1" applyBorder="1" applyAlignment="1" applyProtection="1">
      <alignment horizontal="center" vertical="center" wrapText="1"/>
      <protection locked="0"/>
    </xf>
    <xf numFmtId="1" fontId="0" fillId="13" borderId="22" xfId="0" applyNumberFormat="1" applyFill="1" applyBorder="1" applyAlignment="1" applyProtection="1">
      <alignment horizontal="center" vertical="center" wrapText="1"/>
      <protection locked="0"/>
    </xf>
    <xf numFmtId="1" fontId="0" fillId="13" borderId="3" xfId="0" applyNumberFormat="1" applyFill="1" applyBorder="1" applyAlignment="1" applyProtection="1">
      <alignment horizontal="center" vertical="center" wrapText="1"/>
      <protection locked="0"/>
    </xf>
    <xf numFmtId="0" fontId="2" fillId="8" borderId="6" xfId="0" applyFont="1" applyFill="1" applyBorder="1" applyAlignment="1" applyProtection="1">
      <alignment horizontal="center" vertical="center" wrapText="1"/>
    </xf>
    <xf numFmtId="165" fontId="0" fillId="13" borderId="4" xfId="0" applyNumberFormat="1" applyFill="1" applyBorder="1" applyAlignment="1" applyProtection="1">
      <alignment horizontal="center" vertical="center" wrapText="1"/>
      <protection locked="0"/>
    </xf>
    <xf numFmtId="165" fontId="0" fillId="13" borderId="22" xfId="0" applyNumberFormat="1" applyFill="1" applyBorder="1" applyAlignment="1" applyProtection="1">
      <alignment horizontal="center" vertical="center" wrapText="1"/>
      <protection locked="0"/>
    </xf>
    <xf numFmtId="165" fontId="2" fillId="13" borderId="22" xfId="0" applyNumberFormat="1" applyFont="1" applyFill="1" applyBorder="1" applyAlignment="1" applyProtection="1">
      <alignment horizontal="center" vertical="center" wrapText="1"/>
      <protection locked="0"/>
    </xf>
    <xf numFmtId="165" fontId="0" fillId="13" borderId="3" xfId="0" applyNumberFormat="1" applyFill="1" applyBorder="1" applyAlignment="1" applyProtection="1">
      <alignment horizontal="center" vertical="center" wrapText="1"/>
      <protection locked="0"/>
    </xf>
    <xf numFmtId="0" fontId="4" fillId="8" borderId="9" xfId="0" applyFont="1" applyFill="1" applyBorder="1" applyAlignment="1" applyProtection="1">
      <alignment horizontal="center" vertical="center" wrapText="1"/>
    </xf>
    <xf numFmtId="0" fontId="5" fillId="8" borderId="28" xfId="0" applyFont="1" applyFill="1" applyBorder="1" applyAlignment="1" applyProtection="1">
      <alignment horizontal="center" vertical="center" wrapText="1"/>
    </xf>
    <xf numFmtId="0" fontId="0" fillId="13" borderId="3" xfId="0" applyFill="1" applyBorder="1" applyAlignment="1" applyProtection="1">
      <alignment vertical="center" wrapText="1"/>
      <protection locked="0"/>
    </xf>
    <xf numFmtId="0" fontId="35" fillId="8" borderId="28" xfId="0" applyFont="1" applyFill="1" applyBorder="1" applyAlignment="1" applyProtection="1">
      <alignment horizontal="center" vertical="center" wrapText="1"/>
    </xf>
    <xf numFmtId="1" fontId="33" fillId="6" borderId="4" xfId="0" applyNumberFormat="1" applyFont="1" applyFill="1" applyBorder="1" applyAlignment="1" applyProtection="1">
      <alignment horizontal="center" vertical="center" wrapText="1"/>
      <protection locked="0"/>
    </xf>
    <xf numFmtId="0" fontId="33" fillId="7" borderId="22" xfId="0" applyFont="1" applyFill="1" applyBorder="1" applyAlignment="1" applyProtection="1">
      <alignment horizontal="center" vertical="center" wrapText="1"/>
      <protection locked="0"/>
    </xf>
    <xf numFmtId="0" fontId="33" fillId="7" borderId="3" xfId="0" applyFont="1" applyFill="1" applyBorder="1" applyAlignment="1" applyProtection="1">
      <alignment horizontal="center" vertical="center" wrapText="1"/>
      <protection locked="0"/>
    </xf>
    <xf numFmtId="1" fontId="33" fillId="6" borderId="22" xfId="0" applyNumberFormat="1" applyFont="1" applyFill="1" applyBorder="1" applyAlignment="1" applyProtection="1">
      <alignment horizontal="center" vertical="center" wrapText="1"/>
      <protection locked="0"/>
    </xf>
    <xf numFmtId="2" fontId="33" fillId="6" borderId="4" xfId="0" applyNumberFormat="1" applyFont="1" applyFill="1" applyBorder="1" applyAlignment="1" applyProtection="1">
      <alignment horizontal="center" vertical="center" wrapText="1"/>
      <protection locked="0"/>
    </xf>
    <xf numFmtId="2" fontId="2" fillId="6" borderId="1" xfId="0" applyNumberFormat="1" applyFont="1" applyFill="1" applyBorder="1" applyAlignment="1" applyProtection="1">
      <alignment horizontal="center" vertical="center" wrapText="1"/>
      <protection locked="0"/>
    </xf>
    <xf numFmtId="1" fontId="33" fillId="5" borderId="22" xfId="0" applyNumberFormat="1" applyFont="1" applyFill="1" applyBorder="1" applyAlignment="1" applyProtection="1">
      <alignment horizontal="center" vertical="center" wrapText="1"/>
    </xf>
    <xf numFmtId="2" fontId="33" fillId="9" borderId="22" xfId="0" applyNumberFormat="1" applyFont="1" applyFill="1" applyBorder="1" applyAlignment="1" applyProtection="1">
      <alignment horizontal="center" vertical="center" wrapText="1"/>
      <protection locked="0"/>
    </xf>
    <xf numFmtId="2" fontId="2" fillId="9" borderId="22" xfId="0" applyNumberFormat="1" applyFont="1" applyFill="1" applyBorder="1" applyAlignment="1" applyProtection="1">
      <alignment horizontal="center" vertical="center" wrapText="1"/>
      <protection locked="0"/>
    </xf>
    <xf numFmtId="2" fontId="2" fillId="7" borderId="22" xfId="0" applyNumberFormat="1" applyFont="1" applyFill="1" applyBorder="1" applyAlignment="1" applyProtection="1">
      <alignment horizontal="center" vertical="center" wrapText="1"/>
      <protection locked="0"/>
    </xf>
    <xf numFmtId="164" fontId="33" fillId="5" borderId="22" xfId="0" applyNumberFormat="1" applyFont="1" applyFill="1" applyBorder="1" applyAlignment="1" applyProtection="1">
      <alignment horizontal="center" vertical="center" wrapText="1"/>
    </xf>
    <xf numFmtId="1" fontId="4" fillId="6" borderId="22" xfId="0" applyNumberFormat="1" applyFont="1" applyFill="1" applyBorder="1" applyAlignment="1" applyProtection="1">
      <alignment horizontal="center" vertical="center"/>
      <protection locked="0"/>
    </xf>
    <xf numFmtId="49" fontId="2" fillId="6" borderId="4" xfId="0" applyNumberFormat="1" applyFont="1" applyFill="1" applyBorder="1" applyAlignment="1" applyProtection="1">
      <alignment horizontal="center" vertical="center" wrapText="1"/>
      <protection locked="0"/>
    </xf>
    <xf numFmtId="0" fontId="33" fillId="4" borderId="5" xfId="0" applyFont="1" applyFill="1" applyBorder="1" applyAlignment="1" applyProtection="1">
      <alignment horizontal="center" vertical="center" wrapText="1"/>
    </xf>
    <xf numFmtId="0" fontId="2" fillId="6" borderId="4" xfId="0" applyFont="1" applyFill="1" applyBorder="1" applyAlignment="1" applyProtection="1">
      <alignment horizontal="center" vertical="center" wrapText="1"/>
      <protection locked="0"/>
    </xf>
    <xf numFmtId="166" fontId="0" fillId="13" borderId="4" xfId="0" applyNumberFormat="1" applyFill="1" applyBorder="1" applyAlignment="1" applyProtection="1">
      <alignment horizontal="center" vertical="center" wrapText="1"/>
    </xf>
    <xf numFmtId="166" fontId="0" fillId="13" borderId="22" xfId="0" applyNumberFormat="1" applyFill="1" applyBorder="1" applyAlignment="1" applyProtection="1">
      <alignment horizontal="center" vertical="center" wrapText="1"/>
    </xf>
    <xf numFmtId="0" fontId="2" fillId="9" borderId="0" xfId="0" applyFont="1" applyFill="1" applyAlignment="1">
      <alignment vertical="center" wrapText="1"/>
    </xf>
    <xf numFmtId="0" fontId="2" fillId="9" borderId="0" xfId="0" applyFont="1" applyFill="1" applyAlignment="1">
      <alignment vertical="center"/>
    </xf>
    <xf numFmtId="0" fontId="29" fillId="4" borderId="30" xfId="0" applyFont="1" applyFill="1" applyBorder="1" applyAlignment="1" applyProtection="1">
      <alignment horizontal="center" wrapText="1"/>
    </xf>
    <xf numFmtId="0" fontId="18" fillId="9" borderId="0" xfId="0" applyFont="1" applyFill="1" applyProtection="1">
      <protection locked="0"/>
    </xf>
    <xf numFmtId="0" fontId="4" fillId="4" borderId="5" xfId="0" applyFont="1" applyFill="1" applyBorder="1" applyAlignment="1" applyProtection="1">
      <alignment horizontal="center" wrapText="1"/>
    </xf>
    <xf numFmtId="0" fontId="4" fillId="4" borderId="21" xfId="0" applyFont="1" applyFill="1" applyBorder="1" applyAlignment="1" applyProtection="1">
      <alignment horizontal="center" wrapText="1"/>
    </xf>
    <xf numFmtId="165" fontId="33" fillId="6" borderId="22" xfId="0" applyNumberFormat="1" applyFont="1" applyFill="1" applyBorder="1" applyAlignment="1" applyProtection="1">
      <alignment horizontal="center" vertical="center" wrapText="1"/>
      <protection locked="0"/>
    </xf>
    <xf numFmtId="0" fontId="0" fillId="9" borderId="3" xfId="0" applyFill="1" applyBorder="1" applyAlignment="1" applyProtection="1">
      <alignment vertical="center" wrapText="1"/>
      <protection locked="0"/>
    </xf>
    <xf numFmtId="0" fontId="38" fillId="0" borderId="0" xfId="1"/>
    <xf numFmtId="49" fontId="40" fillId="14" borderId="32" xfId="1" applyNumberFormat="1" applyFont="1" applyFill="1" applyBorder="1" applyAlignment="1">
      <alignment horizontal="center" wrapText="1"/>
    </xf>
    <xf numFmtId="49" fontId="40" fillId="14" borderId="33" xfId="1" applyNumberFormat="1" applyFont="1" applyFill="1" applyBorder="1" applyAlignment="1">
      <alignment horizontal="center" wrapText="1"/>
    </xf>
    <xf numFmtId="49" fontId="40" fillId="14" borderId="34" xfId="1" applyNumberFormat="1" applyFont="1" applyFill="1" applyBorder="1" applyAlignment="1">
      <alignment horizontal="center" wrapText="1"/>
    </xf>
    <xf numFmtId="0" fontId="38" fillId="9" borderId="0" xfId="1" applyFill="1"/>
    <xf numFmtId="0" fontId="41" fillId="15" borderId="35" xfId="1" applyNumberFormat="1" applyFont="1" applyFill="1" applyBorder="1" applyAlignment="1">
      <alignment horizontal="left" wrapText="1"/>
    </xf>
    <xf numFmtId="164" fontId="41" fillId="15" borderId="37" xfId="1" applyNumberFormat="1" applyFont="1" applyFill="1" applyBorder="1" applyAlignment="1">
      <alignment horizontal="right" wrapText="1"/>
    </xf>
    <xf numFmtId="164" fontId="41" fillId="15" borderId="38" xfId="1" applyNumberFormat="1" applyFont="1" applyFill="1" applyBorder="1" applyAlignment="1">
      <alignment horizontal="right" wrapText="1"/>
    </xf>
    <xf numFmtId="0" fontId="41" fillId="15" borderId="35" xfId="1" applyFont="1" applyFill="1" applyBorder="1" applyAlignment="1">
      <alignment horizontal="right" wrapText="1"/>
    </xf>
    <xf numFmtId="164" fontId="41" fillId="15" borderId="36" xfId="1" applyNumberFormat="1" applyFont="1" applyFill="1" applyBorder="1" applyAlignment="1">
      <alignment horizontal="right" wrapText="1"/>
    </xf>
    <xf numFmtId="0" fontId="41" fillId="15" borderId="39" xfId="1" applyNumberFormat="1" applyFont="1" applyFill="1" applyBorder="1" applyAlignment="1">
      <alignment horizontal="left" wrapText="1"/>
    </xf>
    <xf numFmtId="0" fontId="41" fillId="15" borderId="39" xfId="1" applyFont="1" applyFill="1" applyBorder="1" applyAlignment="1">
      <alignment horizontal="right" wrapText="1"/>
    </xf>
    <xf numFmtId="164" fontId="41" fillId="15" borderId="39" xfId="1" applyNumberFormat="1" applyFont="1" applyFill="1" applyBorder="1" applyAlignment="1">
      <alignment horizontal="right" wrapText="1"/>
    </xf>
    <xf numFmtId="164" fontId="41" fillId="15" borderId="40" xfId="1" applyNumberFormat="1" applyFont="1" applyFill="1" applyBorder="1" applyAlignment="1">
      <alignment horizontal="right" wrapText="1"/>
    </xf>
    <xf numFmtId="0" fontId="41" fillId="15" borderId="36" xfId="1" applyNumberFormat="1" applyFont="1" applyFill="1" applyBorder="1" applyAlignment="1">
      <alignment horizontal="left" wrapText="1"/>
    </xf>
    <xf numFmtId="2" fontId="41" fillId="15" borderId="36" xfId="1" applyNumberFormat="1" applyFont="1" applyFill="1" applyBorder="1" applyAlignment="1">
      <alignment horizontal="right" wrapText="1"/>
    </xf>
    <xf numFmtId="2" fontId="41" fillId="15" borderId="39" xfId="1" applyNumberFormat="1" applyFont="1" applyFill="1" applyBorder="1" applyAlignment="1">
      <alignment horizontal="right" wrapText="1"/>
    </xf>
    <xf numFmtId="49" fontId="40" fillId="14" borderId="46" xfId="1" applyNumberFormat="1" applyFont="1" applyFill="1" applyBorder="1" applyAlignment="1">
      <alignment horizontal="center" wrapText="1"/>
    </xf>
    <xf numFmtId="49" fontId="40" fillId="14" borderId="47" xfId="1" applyNumberFormat="1" applyFont="1" applyFill="1" applyBorder="1" applyAlignment="1">
      <alignment horizontal="center" wrapText="1"/>
    </xf>
    <xf numFmtId="49" fontId="40" fillId="14" borderId="48" xfId="1" applyNumberFormat="1" applyFont="1" applyFill="1" applyBorder="1" applyAlignment="1">
      <alignment horizontal="center" wrapText="1"/>
    </xf>
    <xf numFmtId="0" fontId="41" fillId="17" borderId="1" xfId="1" applyNumberFormat="1" applyFont="1" applyFill="1" applyBorder="1" applyAlignment="1" applyProtection="1">
      <alignment horizontal="left" wrapText="1"/>
      <protection locked="0"/>
    </xf>
    <xf numFmtId="0" fontId="41" fillId="17" borderId="1" xfId="1" applyFont="1" applyFill="1" applyBorder="1" applyAlignment="1" applyProtection="1">
      <alignment horizontal="right" wrapText="1"/>
      <protection locked="0"/>
    </xf>
    <xf numFmtId="164" fontId="41" fillId="17" borderId="1" xfId="1" applyNumberFormat="1" applyFont="1" applyFill="1" applyBorder="1" applyAlignment="1" applyProtection="1">
      <alignment horizontal="right" wrapText="1"/>
      <protection locked="0"/>
    </xf>
    <xf numFmtId="164" fontId="41" fillId="17" borderId="37" xfId="1" applyNumberFormat="1" applyFont="1" applyFill="1" applyBorder="1" applyAlignment="1">
      <alignment horizontal="right" wrapText="1"/>
    </xf>
    <xf numFmtId="14" fontId="0" fillId="5" borderId="22" xfId="0" applyNumberFormat="1" applyFill="1" applyBorder="1" applyAlignment="1" applyProtection="1">
      <alignment horizontal="center" vertical="center" wrapText="1"/>
      <protection locked="0"/>
    </xf>
    <xf numFmtId="0" fontId="4" fillId="18" borderId="21" xfId="0" applyFont="1" applyFill="1" applyBorder="1" applyAlignment="1" applyProtection="1">
      <alignment wrapText="1"/>
    </xf>
    <xf numFmtId="0" fontId="13" fillId="0" borderId="12" xfId="0" applyFont="1" applyBorder="1" applyAlignment="1" applyProtection="1">
      <alignment horizontal="center" vertical="center" wrapText="1"/>
    </xf>
    <xf numFmtId="1" fontId="2" fillId="9" borderId="22" xfId="0" applyNumberFormat="1" applyFont="1" applyFill="1" applyBorder="1" applyAlignment="1" applyProtection="1">
      <alignment horizontal="center" vertical="center" wrapText="1"/>
      <protection locked="0"/>
    </xf>
    <xf numFmtId="2" fontId="2" fillId="6" borderId="22" xfId="0" applyNumberFormat="1" applyFont="1" applyFill="1" applyBorder="1" applyAlignment="1" applyProtection="1">
      <alignment horizontal="center" vertical="center" wrapText="1"/>
      <protection locked="0"/>
    </xf>
    <xf numFmtId="14" fontId="0" fillId="6" borderId="22" xfId="0" applyNumberFormat="1" applyFill="1" applyBorder="1" applyAlignment="1" applyProtection="1">
      <alignment horizontal="center" vertical="center" wrapText="1"/>
      <protection locked="0"/>
    </xf>
    <xf numFmtId="10" fontId="2" fillId="18" borderId="22" xfId="0" applyNumberFormat="1" applyFont="1" applyFill="1" applyBorder="1" applyAlignment="1" applyProtection="1">
      <alignment horizontal="center" vertical="center" wrapText="1"/>
    </xf>
    <xf numFmtId="166" fontId="0" fillId="18" borderId="3" xfId="0" applyNumberFormat="1" applyFill="1" applyBorder="1" applyAlignment="1" applyProtection="1">
      <alignment horizontal="center" vertical="center" wrapText="1"/>
    </xf>
    <xf numFmtId="0" fontId="14" fillId="18" borderId="21" xfId="0" applyFont="1" applyFill="1" applyBorder="1" applyAlignment="1" applyProtection="1">
      <alignment wrapText="1"/>
    </xf>
    <xf numFmtId="164" fontId="0" fillId="18" borderId="22" xfId="0" applyNumberFormat="1" applyFill="1" applyBorder="1" applyAlignment="1" applyProtection="1">
      <alignment horizontal="center" vertical="center" wrapText="1"/>
    </xf>
    <xf numFmtId="165" fontId="0" fillId="13" borderId="23" xfId="0" applyNumberFormat="1" applyFill="1" applyBorder="1" applyAlignment="1" applyProtection="1">
      <alignment horizontal="center" vertical="center" wrapText="1"/>
      <protection locked="0"/>
    </xf>
    <xf numFmtId="0" fontId="0" fillId="18" borderId="22" xfId="0" applyNumberFormat="1" applyFill="1" applyBorder="1" applyAlignment="1" applyProtection="1">
      <alignment horizontal="center" vertical="center" wrapText="1"/>
    </xf>
    <xf numFmtId="0" fontId="49" fillId="0" borderId="0" xfId="3" applyAlignment="1">
      <alignment horizontal="center" vertical="center" wrapText="1"/>
    </xf>
    <xf numFmtId="0" fontId="49" fillId="0" borderId="0" xfId="3" applyAlignment="1">
      <alignment horizontal="center" vertical="center"/>
    </xf>
    <xf numFmtId="0" fontId="49" fillId="0" borderId="0" xfId="3">
      <alignment vertical="center"/>
    </xf>
    <xf numFmtId="0" fontId="49" fillId="0" borderId="0" xfId="3" applyAlignment="1">
      <alignment vertical="center"/>
    </xf>
    <xf numFmtId="1" fontId="2" fillId="6" borderId="23" xfId="0" applyNumberFormat="1" applyFont="1" applyFill="1" applyBorder="1" applyAlignment="1" applyProtection="1">
      <alignment horizontal="center" vertical="center" wrapText="1"/>
      <protection locked="0"/>
    </xf>
    <xf numFmtId="0" fontId="4" fillId="18" borderId="49" xfId="0" applyFont="1" applyFill="1" applyBorder="1" applyAlignment="1" applyProtection="1">
      <alignment wrapText="1"/>
    </xf>
    <xf numFmtId="0" fontId="4" fillId="18" borderId="50" xfId="0" applyFont="1" applyFill="1" applyBorder="1" applyAlignment="1" applyProtection="1">
      <alignment wrapText="1"/>
    </xf>
    <xf numFmtId="167" fontId="2" fillId="18" borderId="24" xfId="0" applyNumberFormat="1" applyFont="1" applyFill="1" applyBorder="1" applyAlignment="1" applyProtection="1">
      <alignment horizontal="center" vertical="center" wrapText="1"/>
    </xf>
    <xf numFmtId="167" fontId="2" fillId="18" borderId="1" xfId="0" applyNumberFormat="1" applyFont="1" applyFill="1" applyBorder="1" applyAlignment="1" applyProtection="1">
      <alignment horizontal="center" vertical="center" wrapText="1"/>
    </xf>
    <xf numFmtId="166" fontId="4" fillId="5" borderId="24" xfId="0" applyNumberFormat="1" applyFont="1" applyFill="1" applyBorder="1" applyAlignment="1" applyProtection="1">
      <alignment horizontal="center" vertical="center" wrapText="1"/>
    </xf>
    <xf numFmtId="165" fontId="51" fillId="7" borderId="22" xfId="0" applyNumberFormat="1" applyFont="1" applyFill="1" applyBorder="1" applyAlignment="1" applyProtection="1">
      <alignment horizontal="center" vertical="center" wrapText="1"/>
      <protection locked="0"/>
    </xf>
    <xf numFmtId="165" fontId="51" fillId="9" borderId="22" xfId="0" applyNumberFormat="1" applyFont="1" applyFill="1" applyBorder="1" applyAlignment="1" applyProtection="1">
      <alignment horizontal="center" vertical="center" wrapText="1"/>
    </xf>
    <xf numFmtId="2" fontId="4" fillId="5" borderId="1" xfId="0" applyNumberFormat="1" applyFont="1" applyFill="1" applyBorder="1" applyAlignment="1" applyProtection="1">
      <alignment horizontal="center" vertical="center" wrapText="1"/>
    </xf>
    <xf numFmtId="0" fontId="0" fillId="4" borderId="51" xfId="0" applyFill="1" applyBorder="1" applyAlignment="1" applyProtection="1">
      <alignment horizontal="center" vertical="center" wrapText="1"/>
    </xf>
    <xf numFmtId="2" fontId="2" fillId="7" borderId="52" xfId="0" applyNumberFormat="1" applyFont="1" applyFill="1" applyBorder="1" applyAlignment="1" applyProtection="1">
      <alignment horizontal="center" vertical="center" wrapText="1"/>
      <protection locked="0"/>
    </xf>
    <xf numFmtId="0" fontId="2" fillId="4" borderId="21" xfId="0" applyFont="1" applyFill="1" applyBorder="1" applyAlignment="1" applyProtection="1">
      <alignment horizontal="center" vertical="center" wrapText="1"/>
    </xf>
    <xf numFmtId="14" fontId="2" fillId="7" borderId="22" xfId="0" applyNumberFormat="1" applyFont="1" applyFill="1" applyBorder="1" applyAlignment="1" applyProtection="1">
      <alignment horizontal="center" vertical="center" wrapText="1"/>
      <protection locked="0"/>
    </xf>
    <xf numFmtId="0" fontId="4" fillId="4" borderId="21" xfId="0" applyFont="1" applyFill="1" applyBorder="1" applyAlignment="1" applyProtection="1">
      <alignment horizontal="center" vertical="center" wrapText="1"/>
    </xf>
    <xf numFmtId="14" fontId="2" fillId="6" borderId="22" xfId="0" applyNumberFormat="1" applyFont="1" applyFill="1" applyBorder="1" applyAlignment="1" applyProtection="1">
      <alignment horizontal="center" vertical="center" wrapText="1"/>
      <protection locked="0"/>
    </xf>
    <xf numFmtId="0" fontId="18" fillId="9" borderId="0" xfId="0" applyFont="1" applyFill="1" applyAlignment="1" applyProtection="1">
      <alignment vertical="top"/>
      <protection locked="0"/>
    </xf>
    <xf numFmtId="0" fontId="18" fillId="9" borderId="0" xfId="0" applyFont="1" applyFill="1"/>
    <xf numFmtId="0" fontId="0" fillId="9" borderId="0" xfId="0" applyFill="1" applyAlignment="1" applyProtection="1">
      <alignment wrapText="1"/>
    </xf>
    <xf numFmtId="0" fontId="0" fillId="9" borderId="0" xfId="0" applyFill="1" applyAlignment="1" applyProtection="1">
      <alignment vertical="center" wrapText="1"/>
    </xf>
    <xf numFmtId="0" fontId="13" fillId="9" borderId="0" xfId="0" applyFont="1" applyFill="1" applyAlignment="1" applyProtection="1">
      <alignment vertical="center" wrapText="1"/>
    </xf>
    <xf numFmtId="0" fontId="13" fillId="9" borderId="0" xfId="0" applyFont="1" applyFill="1" applyProtection="1"/>
    <xf numFmtId="0" fontId="22" fillId="9" borderId="0" xfId="0" applyFont="1" applyFill="1" applyAlignment="1">
      <alignment horizontal="left" wrapText="1"/>
    </xf>
    <xf numFmtId="0" fontId="4" fillId="9" borderId="0" xfId="0" applyFont="1" applyFill="1" applyProtection="1"/>
    <xf numFmtId="0" fontId="13" fillId="9" borderId="0" xfId="0" applyFont="1" applyFill="1" applyBorder="1" applyAlignment="1" applyProtection="1">
      <alignment vertical="center" wrapText="1"/>
    </xf>
    <xf numFmtId="0" fontId="26" fillId="9" borderId="0" xfId="0" applyFont="1" applyFill="1" applyProtection="1"/>
    <xf numFmtId="0" fontId="4" fillId="9" borderId="0" xfId="0" applyFont="1" applyFill="1" applyAlignment="1" applyProtection="1">
      <alignment vertical="center" wrapText="1"/>
    </xf>
    <xf numFmtId="0" fontId="10" fillId="9" borderId="0" xfId="0" applyFont="1" applyFill="1" applyAlignment="1" applyProtection="1">
      <alignment vertical="center"/>
    </xf>
    <xf numFmtId="0" fontId="0" fillId="9" borderId="0" xfId="0" applyFill="1" applyAlignment="1" applyProtection="1">
      <alignment vertical="center"/>
    </xf>
    <xf numFmtId="0" fontId="9" fillId="9" borderId="0" xfId="0" applyFont="1" applyFill="1" applyProtection="1"/>
    <xf numFmtId="0" fontId="13" fillId="9" borderId="15" xfId="0" applyFont="1" applyFill="1" applyBorder="1" applyAlignment="1" applyProtection="1">
      <alignment horizontal="center" vertical="center"/>
    </xf>
    <xf numFmtId="164" fontId="13" fillId="9" borderId="15" xfId="0" applyNumberFormat="1" applyFont="1" applyFill="1" applyBorder="1" applyAlignment="1" applyProtection="1">
      <alignment horizontal="center" vertical="center"/>
    </xf>
    <xf numFmtId="0" fontId="13" fillId="9" borderId="15" xfId="0" applyFont="1" applyFill="1" applyBorder="1" applyAlignment="1" applyProtection="1">
      <alignment vertical="center" wrapText="1"/>
    </xf>
    <xf numFmtId="0" fontId="13" fillId="9" borderId="0" xfId="0" applyFont="1" applyFill="1" applyBorder="1" applyAlignment="1" applyProtection="1">
      <alignment horizontal="center" vertical="center"/>
    </xf>
    <xf numFmtId="0" fontId="13" fillId="9" borderId="1" xfId="0" applyFont="1" applyFill="1" applyBorder="1" applyAlignment="1" applyProtection="1">
      <alignment horizontal="center" vertical="center"/>
    </xf>
    <xf numFmtId="164" fontId="13" fillId="9" borderId="1" xfId="0" applyNumberFormat="1" applyFont="1" applyFill="1" applyBorder="1" applyAlignment="1" applyProtection="1">
      <alignment horizontal="center" vertical="center"/>
    </xf>
    <xf numFmtId="0" fontId="0" fillId="9" borderId="0" xfId="0" applyFill="1" applyAlignment="1" applyProtection="1">
      <alignment vertical="top"/>
    </xf>
    <xf numFmtId="0" fontId="8" fillId="9" borderId="0" xfId="0" applyFont="1" applyFill="1" applyProtection="1"/>
    <xf numFmtId="0" fontId="2" fillId="13" borderId="9" xfId="0" applyFont="1" applyFill="1" applyBorder="1" applyAlignment="1" applyProtection="1">
      <alignment vertical="center" wrapText="1"/>
      <protection locked="0"/>
    </xf>
    <xf numFmtId="0" fontId="4" fillId="5" borderId="5" xfId="0" applyFont="1" applyFill="1" applyBorder="1" applyAlignment="1" applyProtection="1">
      <alignment wrapText="1"/>
    </xf>
    <xf numFmtId="0" fontId="4" fillId="5" borderId="6" xfId="0" applyFont="1" applyFill="1" applyBorder="1" applyAlignment="1" applyProtection="1">
      <alignment wrapText="1"/>
    </xf>
    <xf numFmtId="1" fontId="0" fillId="5" borderId="4" xfId="0" applyNumberFormat="1" applyFill="1" applyBorder="1" applyAlignment="1" applyProtection="1">
      <alignment horizontal="center" vertical="center" wrapText="1"/>
      <protection locked="0"/>
    </xf>
    <xf numFmtId="0" fontId="2" fillId="5" borderId="5" xfId="0" applyFont="1" applyFill="1" applyBorder="1" applyAlignment="1" applyProtection="1">
      <alignment wrapText="1"/>
    </xf>
    <xf numFmtId="0" fontId="2" fillId="11" borderId="21" xfId="0" applyFont="1" applyFill="1" applyBorder="1" applyAlignment="1" applyProtection="1">
      <alignment wrapText="1"/>
    </xf>
    <xf numFmtId="164" fontId="4" fillId="5" borderId="4" xfId="0" applyNumberFormat="1" applyFont="1" applyFill="1" applyBorder="1" applyAlignment="1" applyProtection="1">
      <alignment horizontal="center" vertical="center" wrapText="1"/>
    </xf>
    <xf numFmtId="0" fontId="2" fillId="4" borderId="31" xfId="0" applyFont="1" applyFill="1" applyBorder="1" applyAlignment="1" applyProtection="1">
      <alignment wrapText="1"/>
    </xf>
    <xf numFmtId="0" fontId="2" fillId="18" borderId="6" xfId="0" applyFont="1" applyFill="1" applyBorder="1" applyAlignment="1" applyProtection="1">
      <alignment wrapText="1"/>
    </xf>
    <xf numFmtId="0" fontId="4" fillId="4" borderId="51" xfId="0" applyFont="1" applyFill="1" applyBorder="1" applyAlignment="1" applyProtection="1">
      <alignment horizontal="center" wrapText="1"/>
    </xf>
    <xf numFmtId="1" fontId="0" fillId="9" borderId="52" xfId="0" applyNumberFormat="1" applyFill="1" applyBorder="1" applyAlignment="1" applyProtection="1">
      <alignment horizontal="center" vertical="center" wrapText="1"/>
      <protection locked="0"/>
    </xf>
    <xf numFmtId="0" fontId="0" fillId="5" borderId="3" xfId="0" applyNumberFormat="1" applyFill="1" applyBorder="1" applyAlignment="1" applyProtection="1">
      <alignment horizontal="center" vertical="center" wrapText="1"/>
    </xf>
    <xf numFmtId="165" fontId="52" fillId="12" borderId="22" xfId="0" applyNumberFormat="1" applyFont="1" applyFill="1" applyBorder="1" applyAlignment="1" applyProtection="1">
      <alignment horizontal="center" vertical="center" wrapText="1"/>
      <protection locked="0"/>
    </xf>
    <xf numFmtId="0" fontId="2" fillId="13" borderId="9" xfId="0" applyFont="1" applyFill="1" applyBorder="1" applyAlignment="1" applyProtection="1">
      <alignment horizontal="center" vertical="center" wrapText="1"/>
      <protection locked="0"/>
    </xf>
    <xf numFmtId="0" fontId="29" fillId="4" borderId="23" xfId="0" applyFont="1" applyFill="1" applyBorder="1" applyAlignment="1" applyProtection="1">
      <alignment horizontal="center" vertical="center" wrapText="1"/>
    </xf>
    <xf numFmtId="0" fontId="29" fillId="4" borderId="24" xfId="0" applyFont="1" applyFill="1" applyBorder="1" applyAlignment="1" applyProtection="1">
      <alignment horizontal="center" vertical="center" wrapText="1"/>
    </xf>
    <xf numFmtId="0" fontId="29" fillId="4" borderId="25" xfId="0" applyFont="1" applyFill="1" applyBorder="1" applyAlignment="1" applyProtection="1">
      <alignment horizontal="center" vertical="center" wrapText="1"/>
    </xf>
    <xf numFmtId="0" fontId="29" fillId="10" borderId="23" xfId="0" applyFont="1" applyFill="1" applyBorder="1" applyAlignment="1" applyProtection="1">
      <alignment horizontal="center" vertical="center"/>
    </xf>
    <xf numFmtId="0" fontId="29" fillId="10" borderId="24" xfId="0" applyFont="1" applyFill="1" applyBorder="1" applyAlignment="1" applyProtection="1">
      <alignment horizontal="center" vertical="center"/>
    </xf>
    <xf numFmtId="0" fontId="29" fillId="10" borderId="25" xfId="0" applyFont="1" applyFill="1" applyBorder="1" applyAlignment="1" applyProtection="1">
      <alignment horizontal="center" vertical="center"/>
    </xf>
    <xf numFmtId="0" fontId="29" fillId="4" borderId="18" xfId="0" applyFont="1" applyFill="1" applyBorder="1" applyAlignment="1" applyProtection="1">
      <alignment horizontal="center" vertical="center" wrapText="1"/>
    </xf>
    <xf numFmtId="0" fontId="29" fillId="4" borderId="19" xfId="0" applyFont="1" applyFill="1" applyBorder="1" applyAlignment="1" applyProtection="1">
      <alignment horizontal="center" vertical="center" wrapText="1"/>
    </xf>
    <xf numFmtId="0" fontId="29" fillId="4" borderId="17" xfId="0" applyFont="1" applyFill="1" applyBorder="1" applyAlignment="1" applyProtection="1">
      <alignment horizontal="center" vertical="center" wrapText="1"/>
    </xf>
    <xf numFmtId="166" fontId="26" fillId="9" borderId="12" xfId="0" applyNumberFormat="1" applyFont="1" applyFill="1" applyBorder="1" applyAlignment="1" applyProtection="1">
      <alignment horizontal="center" vertical="center" wrapText="1"/>
      <protection locked="0"/>
    </xf>
    <xf numFmtId="166" fontId="26" fillId="9" borderId="13" xfId="0" applyNumberFormat="1" applyFont="1" applyFill="1" applyBorder="1" applyAlignment="1" applyProtection="1">
      <alignment horizontal="center" vertical="center" wrapText="1"/>
      <protection locked="0"/>
    </xf>
    <xf numFmtId="166" fontId="26" fillId="9" borderId="9" xfId="0" applyNumberFormat="1" applyFont="1" applyFill="1" applyBorder="1" applyAlignment="1" applyProtection="1">
      <alignment horizontal="center" vertical="center" wrapText="1"/>
      <protection locked="0"/>
    </xf>
    <xf numFmtId="0" fontId="29" fillId="4" borderId="18" xfId="0" applyFont="1" applyFill="1" applyBorder="1" applyAlignment="1" applyProtection="1">
      <alignment horizontal="center" wrapText="1"/>
    </xf>
    <xf numFmtId="0" fontId="29" fillId="4" borderId="19" xfId="0" applyFont="1" applyFill="1" applyBorder="1" applyAlignment="1" applyProtection="1">
      <alignment horizontal="center" wrapText="1"/>
    </xf>
    <xf numFmtId="0" fontId="29" fillId="4" borderId="17" xfId="0" applyFont="1" applyFill="1" applyBorder="1" applyAlignment="1" applyProtection="1">
      <alignment horizontal="center" wrapText="1"/>
    </xf>
    <xf numFmtId="0" fontId="34" fillId="4" borderId="18" xfId="0" applyFont="1" applyFill="1" applyBorder="1" applyAlignment="1" applyProtection="1">
      <alignment horizontal="center" vertical="center" wrapText="1"/>
    </xf>
    <xf numFmtId="0" fontId="34" fillId="4" borderId="19" xfId="0" applyFont="1" applyFill="1" applyBorder="1" applyAlignment="1" applyProtection="1">
      <alignment horizontal="center" vertical="center" wrapText="1"/>
    </xf>
    <xf numFmtId="0" fontId="34" fillId="4" borderId="24" xfId="0" applyFont="1" applyFill="1" applyBorder="1" applyAlignment="1" applyProtection="1">
      <alignment horizontal="center" vertical="center" wrapText="1"/>
    </xf>
    <xf numFmtId="0" fontId="34" fillId="4" borderId="25" xfId="0" applyFont="1" applyFill="1" applyBorder="1" applyAlignment="1" applyProtection="1">
      <alignment horizontal="center" vertical="center" wrapText="1"/>
    </xf>
    <xf numFmtId="0" fontId="34" fillId="4" borderId="23" xfId="0" applyFont="1" applyFill="1" applyBorder="1" applyAlignment="1" applyProtection="1">
      <alignment horizontal="center" vertical="center" wrapText="1"/>
    </xf>
    <xf numFmtId="0" fontId="29" fillId="4" borderId="8" xfId="0" applyFont="1" applyFill="1" applyBorder="1" applyAlignment="1" applyProtection="1">
      <alignment horizontal="center" vertical="center" wrapText="1"/>
    </xf>
    <xf numFmtId="0" fontId="29" fillId="4" borderId="8" xfId="0" applyFont="1" applyFill="1" applyBorder="1" applyAlignment="1" applyProtection="1">
      <alignment horizontal="center" wrapText="1"/>
    </xf>
    <xf numFmtId="0" fontId="35" fillId="8" borderId="26" xfId="0" applyFont="1" applyFill="1" applyBorder="1" applyAlignment="1" applyProtection="1">
      <alignment horizontal="center" vertical="center" wrapText="1"/>
    </xf>
    <xf numFmtId="0" fontId="35" fillId="8" borderId="0" xfId="0" applyFont="1" applyFill="1" applyBorder="1" applyAlignment="1" applyProtection="1">
      <alignment horizontal="center" vertical="center" wrapText="1"/>
    </xf>
    <xf numFmtId="0" fontId="35" fillId="8" borderId="29" xfId="0" applyFont="1" applyFill="1" applyBorder="1" applyAlignment="1" applyProtection="1">
      <alignment horizontal="center" vertical="center" wrapText="1"/>
    </xf>
    <xf numFmtId="0" fontId="29" fillId="8" borderId="26" xfId="0" applyFont="1" applyFill="1" applyBorder="1" applyAlignment="1" applyProtection="1">
      <alignment horizontal="center" vertical="center" wrapText="1"/>
    </xf>
    <xf numFmtId="0" fontId="29" fillId="8" borderId="0" xfId="0" applyFont="1" applyFill="1" applyBorder="1" applyAlignment="1" applyProtection="1">
      <alignment horizontal="center" vertical="center" wrapText="1"/>
    </xf>
    <xf numFmtId="0" fontId="29" fillId="8" borderId="29" xfId="0" applyFont="1" applyFill="1" applyBorder="1" applyAlignment="1" applyProtection="1">
      <alignment horizontal="center" vertical="center" wrapText="1"/>
    </xf>
    <xf numFmtId="0" fontId="13" fillId="0" borderId="28" xfId="0" applyFont="1" applyBorder="1" applyAlignment="1" applyProtection="1">
      <alignment horizontal="center" vertical="top" wrapText="1"/>
    </xf>
    <xf numFmtId="0" fontId="13" fillId="0" borderId="15" xfId="0" applyFont="1" applyBorder="1" applyAlignment="1" applyProtection="1">
      <alignment horizontal="center" vertical="top" wrapText="1"/>
    </xf>
    <xf numFmtId="0" fontId="13" fillId="0" borderId="20" xfId="0" applyFont="1" applyBorder="1" applyAlignment="1" applyProtection="1">
      <alignment horizontal="center" vertical="center" wrapText="1"/>
    </xf>
    <xf numFmtId="0" fontId="13" fillId="0" borderId="12" xfId="0" applyFont="1" applyBorder="1" applyAlignment="1" applyProtection="1">
      <alignment horizontal="center" vertical="center" wrapText="1"/>
    </xf>
    <xf numFmtId="0" fontId="35" fillId="8" borderId="18" xfId="0" applyFont="1" applyFill="1" applyBorder="1" applyAlignment="1" applyProtection="1">
      <alignment horizontal="center" vertical="center" wrapText="1"/>
    </xf>
    <xf numFmtId="0" fontId="35" fillId="8" borderId="19" xfId="0" applyFont="1" applyFill="1" applyBorder="1" applyAlignment="1" applyProtection="1">
      <alignment horizontal="center" vertical="center" wrapText="1"/>
    </xf>
    <xf numFmtId="0" fontId="35" fillId="8" borderId="17" xfId="0" applyFont="1" applyFill="1" applyBorder="1" applyAlignment="1" applyProtection="1">
      <alignment horizontal="center" vertical="center" wrapText="1"/>
    </xf>
    <xf numFmtId="0" fontId="2" fillId="5" borderId="1" xfId="0" applyFont="1" applyFill="1" applyBorder="1" applyAlignment="1" applyProtection="1">
      <alignment horizontal="center" wrapText="1"/>
    </xf>
    <xf numFmtId="0" fontId="4" fillId="4" borderId="1" xfId="0" applyFont="1" applyFill="1" applyBorder="1" applyAlignment="1" applyProtection="1">
      <alignment horizontal="center" wrapText="1"/>
    </xf>
    <xf numFmtId="0" fontId="46" fillId="9" borderId="18" xfId="2" applyFont="1" applyFill="1" applyBorder="1" applyAlignment="1">
      <alignment horizontal="left" vertical="top" wrapText="1"/>
    </xf>
    <xf numFmtId="0" fontId="46" fillId="9" borderId="19" xfId="2" applyFont="1" applyFill="1" applyBorder="1" applyAlignment="1">
      <alignment horizontal="left" vertical="top" wrapText="1"/>
    </xf>
    <xf numFmtId="0" fontId="46" fillId="9" borderId="17" xfId="2" applyFont="1" applyFill="1" applyBorder="1" applyAlignment="1">
      <alignment horizontal="left" vertical="top" wrapText="1"/>
    </xf>
    <xf numFmtId="0" fontId="46" fillId="9" borderId="26" xfId="2" applyFont="1" applyFill="1" applyBorder="1" applyAlignment="1">
      <alignment horizontal="left" vertical="top" wrapText="1"/>
    </xf>
    <xf numFmtId="0" fontId="46" fillId="9" borderId="0" xfId="2" applyFont="1" applyFill="1" applyBorder="1" applyAlignment="1">
      <alignment horizontal="left" vertical="top" wrapText="1"/>
    </xf>
    <xf numFmtId="0" fontId="46" fillId="9" borderId="29" xfId="2" applyFont="1" applyFill="1" applyBorder="1" applyAlignment="1">
      <alignment horizontal="left" vertical="top" wrapText="1"/>
    </xf>
    <xf numFmtId="0" fontId="46" fillId="9" borderId="20" xfId="2" applyFont="1" applyFill="1" applyBorder="1" applyAlignment="1">
      <alignment horizontal="left" vertical="top" wrapText="1"/>
    </xf>
    <xf numFmtId="0" fontId="46" fillId="9" borderId="14" xfId="2" applyFont="1" applyFill="1" applyBorder="1" applyAlignment="1">
      <alignment horizontal="left" vertical="top" wrapText="1"/>
    </xf>
    <xf numFmtId="0" fontId="46" fillId="9" borderId="16" xfId="2" applyFont="1" applyFill="1" applyBorder="1" applyAlignment="1">
      <alignment horizontal="left" vertical="top" wrapText="1"/>
    </xf>
    <xf numFmtId="0" fontId="39" fillId="0" borderId="12" xfId="1" applyFont="1" applyBorder="1" applyAlignment="1">
      <alignment horizontal="center"/>
    </xf>
    <xf numFmtId="0" fontId="39" fillId="0" borderId="13" xfId="1" applyFont="1" applyBorder="1" applyAlignment="1">
      <alignment horizontal="center"/>
    </xf>
    <xf numFmtId="0" fontId="39" fillId="0" borderId="9" xfId="1" applyFont="1" applyBorder="1" applyAlignment="1">
      <alignment horizontal="center"/>
    </xf>
    <xf numFmtId="0" fontId="39" fillId="0" borderId="18" xfId="1" applyFont="1" applyBorder="1" applyAlignment="1">
      <alignment horizontal="center"/>
    </xf>
    <xf numFmtId="0" fontId="39" fillId="0" borderId="19" xfId="1" applyFont="1" applyBorder="1" applyAlignment="1">
      <alignment horizontal="center"/>
    </xf>
    <xf numFmtId="0" fontId="39" fillId="0" borderId="17" xfId="1" applyFont="1" applyBorder="1" applyAlignment="1">
      <alignment horizontal="center"/>
    </xf>
    <xf numFmtId="0" fontId="43" fillId="16" borderId="41" xfId="2" applyFont="1" applyFill="1" applyBorder="1" applyAlignment="1">
      <alignment horizontal="center" wrapText="1"/>
    </xf>
    <xf numFmtId="0" fontId="45" fillId="16" borderId="42" xfId="2" applyFont="1" applyFill="1" applyBorder="1" applyAlignment="1">
      <alignment horizontal="center" wrapText="1"/>
    </xf>
    <xf numFmtId="0" fontId="45" fillId="16" borderId="43" xfId="2" applyFont="1" applyFill="1" applyBorder="1" applyAlignment="1">
      <alignment horizontal="center" wrapText="1"/>
    </xf>
    <xf numFmtId="0" fontId="45" fillId="16" borderId="44" xfId="2" applyFont="1" applyFill="1" applyBorder="1" applyAlignment="1">
      <alignment horizontal="center" wrapText="1"/>
    </xf>
    <xf numFmtId="0" fontId="45" fillId="16" borderId="0" xfId="2" applyFont="1" applyFill="1" applyBorder="1" applyAlignment="1">
      <alignment horizontal="center" wrapText="1"/>
    </xf>
    <xf numFmtId="0" fontId="45" fillId="16" borderId="45" xfId="2" applyFont="1" applyFill="1" applyBorder="1" applyAlignment="1">
      <alignment horizontal="center" wrapText="1"/>
    </xf>
    <xf numFmtId="0" fontId="22" fillId="9" borderId="0" xfId="0" applyFont="1" applyFill="1" applyAlignment="1">
      <alignment horizontal="left" wrapText="1"/>
    </xf>
  </cellXfs>
  <cellStyles count="4">
    <cellStyle name="Normal 3 2" xfId="2" xr:uid="{40B9121B-6E68-4058-828C-649AAE03163D}"/>
    <cellStyle name="Standard" xfId="0" builtinId="0"/>
    <cellStyle name="Standard 2" xfId="1" xr:uid="{FC3C25E0-4306-451A-8839-C2A015098F8E}"/>
    <cellStyle name="Standard 3" xfId="3" xr:uid="{43450614-21D0-4070-A70A-1A1E1AD13026}"/>
  </cellStyles>
  <dxfs count="141">
    <dxf>
      <font>
        <b val="0"/>
        <i val="0"/>
        <strike val="0"/>
        <condense val="0"/>
        <extend val="0"/>
        <outline val="0"/>
        <shadow val="0"/>
        <u val="none"/>
        <vertAlign val="baseline"/>
        <sz val="9"/>
        <color theme="1"/>
        <name val="Arial"/>
        <scheme val="none"/>
      </font>
      <numFmt numFmtId="2" formatCode="0.00"/>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numFmt numFmtId="2" formatCode="0.00"/>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numFmt numFmtId="164" formatCode="0.0"/>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164" formatCode="0.0"/>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lef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border outline="0">
        <top style="thin">
          <color rgb="FFCAC9D9"/>
        </top>
      </border>
    </dxf>
    <dxf>
      <border outline="0">
        <top style="thin">
          <color rgb="FFCACAD9"/>
        </top>
        <bottom style="thin">
          <color rgb="FFCAC9D9"/>
        </bottom>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dxf>
    <dxf>
      <border outline="0">
        <bottom style="thin">
          <color rgb="FFCACAD9"/>
        </bottom>
      </border>
    </dxf>
    <dxf>
      <font>
        <b/>
        <i val="0"/>
        <strike val="0"/>
        <condense val="0"/>
        <extend val="0"/>
        <outline val="0"/>
        <shadow val="0"/>
        <u val="none"/>
        <vertAlign val="baseline"/>
        <sz val="9"/>
        <color rgb="FFFFFFFF"/>
        <name val="Arial"/>
        <scheme val="none"/>
      </font>
      <numFmt numFmtId="30" formatCode="@"/>
      <fill>
        <patternFill patternType="solid">
          <fgColor rgb="FFFFFFFF"/>
          <bgColor rgb="FF5175B9"/>
        </patternFill>
      </fill>
      <alignment horizontal="center" vertical="bottom" textRotation="0" wrapText="1" indent="0" justifyLastLine="0" shrinkToFit="0" readingOrder="0"/>
      <border diagonalUp="0" diagonalDown="0" outline="0">
        <left style="thin">
          <color rgb="FFCACAD9"/>
        </left>
        <right style="thin">
          <color rgb="FFCACAD9"/>
        </right>
        <top/>
        <bottom/>
      </border>
    </dxf>
    <dxf>
      <font>
        <b val="0"/>
        <i val="0"/>
        <strike val="0"/>
        <condense val="0"/>
        <extend val="0"/>
        <outline val="0"/>
        <shadow val="0"/>
        <u val="none"/>
        <vertAlign val="baseline"/>
        <sz val="9"/>
        <color theme="1"/>
        <name val="Arial"/>
        <scheme val="none"/>
      </font>
      <numFmt numFmtId="164" formatCode="0.0"/>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numFmt numFmtId="164" formatCode="0.0"/>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164" formatCode="0.0"/>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font>
        <b val="0"/>
        <i val="0"/>
        <strike val="0"/>
        <condense val="0"/>
        <extend val="0"/>
        <outline val="0"/>
        <shadow val="0"/>
        <u val="none"/>
        <vertAlign val="baseline"/>
        <sz val="9"/>
        <color theme="1"/>
        <name val="Arial"/>
        <scheme val="none"/>
      </font>
      <numFmt numFmtId="0" formatCode="General"/>
      <fill>
        <patternFill patternType="solid">
          <fgColor rgb="FFFFFFFF"/>
          <bgColor rgb="FFFFFFFF"/>
        </patternFill>
      </fill>
      <alignment horizontal="left" vertical="bottom" textRotation="0" wrapText="1" indent="0" justifyLastLine="0" shrinkToFit="0" readingOrder="0"/>
      <border diagonalUp="0" diagonalDown="0">
        <left style="thin">
          <color rgb="FFCAC9D9"/>
        </left>
        <right style="thin">
          <color rgb="FFCAC9D9"/>
        </right>
        <top style="thin">
          <color rgb="FFCAC9D9"/>
        </top>
        <bottom/>
        <vertical/>
        <horizontal/>
      </border>
    </dxf>
    <dxf>
      <border outline="0">
        <top style="thin">
          <color rgb="FFCAC9D9"/>
        </top>
      </border>
    </dxf>
    <dxf>
      <border outline="0">
        <top style="thin">
          <color rgb="FFCACAD9"/>
        </top>
        <bottom style="thin">
          <color rgb="FFCAC9D9"/>
        </bottom>
      </border>
    </dxf>
    <dxf>
      <font>
        <b val="0"/>
        <i val="0"/>
        <strike val="0"/>
        <condense val="0"/>
        <extend val="0"/>
        <outline val="0"/>
        <shadow val="0"/>
        <u val="none"/>
        <vertAlign val="baseline"/>
        <sz val="9"/>
        <color theme="1"/>
        <name val="Arial"/>
        <scheme val="none"/>
      </font>
      <fill>
        <patternFill patternType="solid">
          <fgColor rgb="FFFFFFFF"/>
          <bgColor rgb="FFFFFFFF"/>
        </patternFill>
      </fill>
      <alignment horizontal="right" vertical="bottom" textRotation="0" wrapText="1" indent="0" justifyLastLine="0" shrinkToFit="0" readingOrder="0"/>
    </dxf>
    <dxf>
      <border outline="0">
        <bottom style="thin">
          <color rgb="FFCACAD9"/>
        </bottom>
      </border>
    </dxf>
    <dxf>
      <font>
        <b/>
        <i val="0"/>
        <strike val="0"/>
        <condense val="0"/>
        <extend val="0"/>
        <outline val="0"/>
        <shadow val="0"/>
        <u val="none"/>
        <vertAlign val="baseline"/>
        <sz val="9"/>
        <color rgb="FFFFFFFF"/>
        <name val="Arial"/>
        <scheme val="none"/>
      </font>
      <numFmt numFmtId="30" formatCode="@"/>
      <fill>
        <patternFill patternType="solid">
          <fgColor rgb="FFFFFFFF"/>
          <bgColor rgb="FF5175B9"/>
        </patternFill>
      </fill>
      <alignment horizontal="center" vertical="bottom" textRotation="0" wrapText="1" indent="0" justifyLastLine="0" shrinkToFit="0" readingOrder="0"/>
      <border diagonalUp="0" diagonalDown="0" outline="0">
        <left style="thin">
          <color rgb="FFCACAD9"/>
        </left>
        <right style="thin">
          <color rgb="FFCACAD9"/>
        </right>
        <top/>
        <bottom/>
      </border>
    </dxf>
    <dxf>
      <fill>
        <patternFill>
          <bgColor rgb="FFCCFFCC"/>
        </patternFill>
      </fill>
    </dxf>
    <dxf>
      <fill>
        <gradientFill degree="135">
          <stop position="0">
            <color theme="0"/>
          </stop>
          <stop position="1">
            <color rgb="FFCCFFCC"/>
          </stop>
        </gradientFill>
      </fill>
    </dxf>
    <dxf>
      <fill>
        <gradientFill degree="45">
          <stop position="0">
            <color theme="0"/>
          </stop>
          <stop position="1">
            <color rgb="FFCCFFCC"/>
          </stop>
        </gradientFill>
      </fill>
    </dxf>
    <dxf>
      <fill>
        <patternFill>
          <bgColor indexed="42"/>
        </patternFill>
      </fill>
    </dxf>
    <dxf>
      <fill>
        <patternFill>
          <bgColor rgb="FFCCFFCC"/>
        </patternFill>
      </fill>
    </dxf>
    <dxf>
      <fill>
        <patternFill>
          <bgColor indexed="42"/>
        </patternFill>
      </fill>
    </dxf>
    <dxf>
      <fill>
        <patternFill>
          <bgColor indexed="42"/>
        </patternFill>
      </fill>
    </dxf>
    <dxf>
      <fill>
        <patternFill>
          <bgColor rgb="FFFFFF99"/>
        </patternFill>
      </fill>
    </dxf>
    <dxf>
      <fill>
        <patternFill>
          <bgColor indexed="42"/>
        </patternFill>
      </fill>
    </dxf>
    <dxf>
      <fill>
        <patternFill>
          <bgColor indexed="42"/>
        </patternFill>
      </fill>
    </dxf>
    <dxf>
      <fill>
        <patternFill>
          <bgColor indexed="42"/>
        </patternFill>
      </fill>
    </dxf>
    <dxf>
      <font>
        <b/>
        <i val="0"/>
        <condense val="0"/>
        <extend val="0"/>
      </font>
      <fill>
        <patternFill>
          <bgColor indexed="14"/>
        </patternFill>
      </fill>
    </dxf>
    <dxf>
      <fill>
        <patternFill>
          <bgColor rgb="FFCCFFCC"/>
        </patternFill>
      </fill>
    </dxf>
    <dxf>
      <fill>
        <patternFill>
          <bgColor indexed="42"/>
        </patternFill>
      </fill>
    </dxf>
    <dxf>
      <fill>
        <patternFill>
          <bgColor rgb="FFCCFFCC"/>
        </patternFill>
      </fill>
    </dxf>
    <dxf>
      <font>
        <b/>
        <i val="0"/>
        <condense val="0"/>
        <extend val="0"/>
      </font>
      <fill>
        <patternFill>
          <bgColor indexed="14"/>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rgb="FFCCFFCC"/>
        </patternFill>
      </fill>
    </dxf>
    <dxf>
      <font>
        <b/>
        <i val="0"/>
        <condense val="0"/>
        <extend val="0"/>
      </font>
      <fill>
        <patternFill>
          <bgColor indexed="14"/>
        </patternFill>
      </fill>
    </dxf>
    <dxf>
      <font>
        <b/>
        <i val="0"/>
        <condense val="0"/>
        <extend val="0"/>
      </font>
      <fill>
        <patternFill>
          <bgColor indexed="14"/>
        </patternFill>
      </fill>
    </dxf>
    <dxf>
      <fill>
        <gradientFill degree="135">
          <stop position="0">
            <color theme="0"/>
          </stop>
          <stop position="1">
            <color rgb="FFCCFFCC"/>
          </stop>
        </gradientFill>
      </fill>
    </dxf>
    <dxf>
      <fill>
        <gradientFill degree="45">
          <stop position="0">
            <color theme="0"/>
          </stop>
          <stop position="1">
            <color rgb="FFCCFFCC"/>
          </stop>
        </gradientFill>
      </fill>
    </dxf>
    <dxf>
      <font>
        <b/>
        <i val="0"/>
        <condense val="0"/>
        <extend val="0"/>
      </font>
      <fill>
        <patternFill>
          <bgColor indexed="14"/>
        </patternFill>
      </fill>
    </dxf>
    <dxf>
      <fill>
        <patternFill>
          <bgColor indexed="42"/>
        </patternFill>
      </fill>
    </dxf>
    <dxf>
      <fill>
        <patternFill>
          <bgColor rgb="FFCCFFCC"/>
        </patternFill>
      </fill>
    </dxf>
    <dxf>
      <fill>
        <patternFill>
          <bgColor rgb="FFCCFFCC"/>
        </patternFill>
      </fill>
    </dxf>
    <dxf>
      <fill>
        <patternFill>
          <bgColor rgb="FFCCFFCC"/>
        </patternFill>
      </fill>
    </dxf>
    <dxf>
      <fill>
        <patternFill>
          <bgColor indexed="42"/>
        </patternFill>
      </fill>
    </dxf>
    <dxf>
      <fill>
        <patternFill>
          <bgColor indexed="42"/>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indexed="42"/>
        </patternFill>
      </fill>
    </dxf>
    <dxf>
      <fill>
        <patternFill>
          <bgColor indexed="42"/>
        </patternFill>
      </fill>
    </dxf>
    <dxf>
      <fill>
        <patternFill>
          <bgColor indexed="42"/>
        </patternFill>
      </fill>
    </dxf>
    <dxf>
      <fill>
        <patternFill>
          <bgColor rgb="FFCCFFCC"/>
        </patternFill>
      </fill>
    </dxf>
    <dxf>
      <fill>
        <patternFill>
          <bgColor rgb="FFCCFFCC"/>
        </patternFill>
      </fill>
    </dxf>
    <dxf>
      <fill>
        <patternFill>
          <bgColor rgb="FFCCFFCC"/>
        </patternFill>
      </fill>
    </dxf>
    <dxf>
      <fill>
        <patternFill>
          <bgColor rgb="FFCCFFCC"/>
        </patternFill>
      </fill>
    </dxf>
    <dxf>
      <fill>
        <patternFill>
          <bgColor indexed="42"/>
        </patternFill>
      </fill>
    </dxf>
    <dxf>
      <fill>
        <patternFill>
          <bgColor indexed="42"/>
        </patternFill>
      </fill>
    </dxf>
    <dxf>
      <fill>
        <patternFill>
          <bgColor rgb="FFCCFFCC"/>
        </patternFill>
      </fill>
    </dxf>
    <dxf>
      <fill>
        <patternFill>
          <bgColor indexed="42"/>
        </patternFill>
      </fill>
    </dxf>
    <dxf>
      <font>
        <b/>
        <i val="0"/>
        <condense val="0"/>
        <extend val="0"/>
      </font>
      <fill>
        <patternFill>
          <bgColor indexed="14"/>
        </patternFill>
      </fill>
    </dxf>
    <dxf>
      <font>
        <b/>
        <i val="0"/>
        <condense val="0"/>
        <extend val="0"/>
      </font>
      <fill>
        <patternFill>
          <bgColor indexed="14"/>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ont>
        <b/>
        <i val="0"/>
        <condense val="0"/>
        <extend val="0"/>
      </font>
      <fill>
        <patternFill>
          <bgColor indexed="14"/>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s>
  <tableStyles count="0" defaultTableStyle="TableStyleMedium2" defaultPivotStyle="PivotStyleLight16"/>
  <colors>
    <mruColors>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50800</xdr:colOff>
      <xdr:row>1</xdr:row>
      <xdr:rowOff>812800</xdr:rowOff>
    </xdr:from>
    <xdr:to>
      <xdr:col>17</xdr:col>
      <xdr:colOff>622300</xdr:colOff>
      <xdr:row>1</xdr:row>
      <xdr:rowOff>812800</xdr:rowOff>
    </xdr:to>
    <xdr:cxnSp macro="">
      <xdr:nvCxnSpPr>
        <xdr:cNvPr id="2" name="Straight Arrow Connector 2">
          <a:extLst>
            <a:ext uri="{FF2B5EF4-FFF2-40B4-BE49-F238E27FC236}">
              <a16:creationId xmlns:a16="http://schemas.microsoft.com/office/drawing/2014/main" id="{485BFEFB-0292-4203-89C1-48D6744DDFDF}"/>
            </a:ext>
          </a:extLst>
        </xdr:cNvPr>
        <xdr:cNvCxnSpPr/>
      </xdr:nvCxnSpPr>
      <xdr:spPr>
        <a:xfrm>
          <a:off x="11614150" y="974725"/>
          <a:ext cx="571500" cy="0"/>
        </a:xfrm>
        <a:prstGeom prst="straightConnector1">
          <a:avLst/>
        </a:prstGeom>
        <a:ln w="57150">
          <a:solidFill>
            <a:srgbClr val="C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69850</xdr:colOff>
      <xdr:row>6</xdr:row>
      <xdr:rowOff>425450</xdr:rowOff>
    </xdr:from>
    <xdr:to>
      <xdr:col>17</xdr:col>
      <xdr:colOff>641350</xdr:colOff>
      <xdr:row>6</xdr:row>
      <xdr:rowOff>425450</xdr:rowOff>
    </xdr:to>
    <xdr:cxnSp macro="">
      <xdr:nvCxnSpPr>
        <xdr:cNvPr id="3" name="Straight Arrow Connector 3">
          <a:extLst>
            <a:ext uri="{FF2B5EF4-FFF2-40B4-BE49-F238E27FC236}">
              <a16:creationId xmlns:a16="http://schemas.microsoft.com/office/drawing/2014/main" id="{3A9747AA-A211-45EB-8512-01EC3C5E9450}"/>
            </a:ext>
          </a:extLst>
        </xdr:cNvPr>
        <xdr:cNvCxnSpPr/>
      </xdr:nvCxnSpPr>
      <xdr:spPr>
        <a:xfrm>
          <a:off x="11633200" y="2625725"/>
          <a:ext cx="571500" cy="0"/>
        </a:xfrm>
        <a:prstGeom prst="straightConnector1">
          <a:avLst/>
        </a:prstGeom>
        <a:ln w="57150">
          <a:solidFill>
            <a:srgbClr val="C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63500</xdr:colOff>
      <xdr:row>3</xdr:row>
      <xdr:rowOff>25400</xdr:rowOff>
    </xdr:from>
    <xdr:to>
      <xdr:col>15</xdr:col>
      <xdr:colOff>647700</xdr:colOff>
      <xdr:row>4</xdr:row>
      <xdr:rowOff>31750</xdr:rowOff>
    </xdr:to>
    <xdr:sp macro="" textlink="">
      <xdr:nvSpPr>
        <xdr:cNvPr id="4" name="Right Brace 4">
          <a:extLst>
            <a:ext uri="{FF2B5EF4-FFF2-40B4-BE49-F238E27FC236}">
              <a16:creationId xmlns:a16="http://schemas.microsoft.com/office/drawing/2014/main" id="{058853C2-AFAD-40A3-91FE-BBDB663890C2}"/>
            </a:ext>
          </a:extLst>
        </xdr:cNvPr>
        <xdr:cNvSpPr/>
      </xdr:nvSpPr>
      <xdr:spPr>
        <a:xfrm rot="5400000">
          <a:off x="5662612" y="-3268662"/>
          <a:ext cx="168275" cy="10185400"/>
        </a:xfrm>
        <a:prstGeom prst="rightBrace">
          <a:avLst>
            <a:gd name="adj1" fmla="val 56609"/>
            <a:gd name="adj2" fmla="val 50182"/>
          </a:avLst>
        </a:prstGeom>
        <a:ln w="57150">
          <a:solidFill>
            <a:srgbClr val="C00000"/>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16</xdr:col>
      <xdr:colOff>393700</xdr:colOff>
      <xdr:row>6</xdr:row>
      <xdr:rowOff>285750</xdr:rowOff>
    </xdr:from>
    <xdr:to>
      <xdr:col>20</xdr:col>
      <xdr:colOff>514350</xdr:colOff>
      <xdr:row>12</xdr:row>
      <xdr:rowOff>82550</xdr:rowOff>
    </xdr:to>
    <xdr:sp macro="" textlink="">
      <xdr:nvSpPr>
        <xdr:cNvPr id="5" name="Arc 5">
          <a:extLst>
            <a:ext uri="{FF2B5EF4-FFF2-40B4-BE49-F238E27FC236}">
              <a16:creationId xmlns:a16="http://schemas.microsoft.com/office/drawing/2014/main" id="{D8D6C61E-E088-46FE-BD71-3AE861935471}"/>
            </a:ext>
          </a:extLst>
        </xdr:cNvPr>
        <xdr:cNvSpPr/>
      </xdr:nvSpPr>
      <xdr:spPr>
        <a:xfrm rot="5400000">
          <a:off x="12018962" y="1738313"/>
          <a:ext cx="1368425" cy="2863850"/>
        </a:xfrm>
        <a:prstGeom prst="arc">
          <a:avLst>
            <a:gd name="adj1" fmla="val 16200000"/>
            <a:gd name="adj2" fmla="val 5430480"/>
          </a:avLst>
        </a:prstGeom>
        <a:ln w="57150">
          <a:solidFill>
            <a:srgbClr val="C00000"/>
          </a:solidFill>
          <a:tailEnd type="triangle"/>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1</xdr:row>
      <xdr:rowOff>0</xdr:rowOff>
    </xdr:from>
    <xdr:to>
      <xdr:col>16</xdr:col>
      <xdr:colOff>502252</xdr:colOff>
      <xdr:row>33</xdr:row>
      <xdr:rowOff>35718</xdr:rowOff>
    </xdr:to>
    <xdr:pic>
      <xdr:nvPicPr>
        <xdr:cNvPr id="2" name="Grafik 1">
          <a:extLst>
            <a:ext uri="{FF2B5EF4-FFF2-40B4-BE49-F238E27FC236}">
              <a16:creationId xmlns:a16="http://schemas.microsoft.com/office/drawing/2014/main" id="{7ED5D5AE-7A96-47CB-A310-1CB79CCD44CD}"/>
            </a:ext>
          </a:extLst>
        </xdr:cNvPr>
        <xdr:cNvPicPr>
          <a:picLocks noChangeAspect="1"/>
        </xdr:cNvPicPr>
      </xdr:nvPicPr>
      <xdr:blipFill>
        <a:blip xmlns:r="http://schemas.openxmlformats.org/officeDocument/2006/relationships" r:embed="rId1"/>
        <a:stretch>
          <a:fillRect/>
        </a:stretch>
      </xdr:blipFill>
      <xdr:spPr>
        <a:xfrm>
          <a:off x="6560344" y="202406"/>
          <a:ext cx="8431814" cy="690562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236F971-B5C6-474D-A586-A9241E94652E}" name="Table1" displayName="Table1" ref="B2:U4" totalsRowShown="0" headerRowDxfId="50" dataDxfId="48" headerRowBorderDxfId="49" tableBorderDxfId="47" totalsRowBorderDxfId="46">
  <autoFilter ref="B2:U4" xr:uid="{00000000-0009-0000-0100-000001000000}"/>
  <tableColumns count="20">
    <tableColumn id="1" xr3:uid="{45FE7C14-C033-4472-9BFE-6AE78B80AE0F}" name="Monochrome Product Speed (ipm or mppm)" dataDxfId="45"/>
    <tableColumn id="2" xr3:uid="{C9DDC109-4C27-4E30-8F9F-068CA40DD543}" name="Step 1: &quot;Off Interval&quot; Energy (Wh)" dataDxfId="44"/>
    <tableColumn id="3" xr3:uid="{3AC3DD72-4CCE-4D09-805F-AB7F74E31381}" name="Step 1: &quot;Off Interval&quot; Time (min)" dataDxfId="43"/>
    <tableColumn id="4" xr3:uid="{8ACF8FA8-2267-4BF9-9006-172073357B8A}" name="Step 3: &quot;Active0&quot; Time (min)" dataDxfId="42"/>
    <tableColumn id="5" xr3:uid="{93E0762B-5336-4A59-A9FB-25403A7B4155}" name="Step 5: &quot;Sleep Interval&quot; Energy (Wh)" dataDxfId="41"/>
    <tableColumn id="6" xr3:uid="{C365A6F5-1C7D-4C54-AB67-0B7EE96C8874}" name="Step 6: &quot;Job1 Interval&quot; Energy (Wh)" dataDxfId="40"/>
    <tableColumn id="7" xr3:uid="{0602A7C4-4774-4239-B4FE-F151A63D3B74}" name="Step 6: &quot;Active1&quot; Time (min)" dataDxfId="39"/>
    <tableColumn id="8" xr3:uid="{C4922873-458D-427D-83B1-C650D299126C}" name="Step 7: &quot;Job2 Interval&quot; Energy (Wh)" dataDxfId="38"/>
    <tableColumn id="9" xr3:uid="{85F5236B-1F45-4A14-BC00-4EB31C3A08BB}" name="Step 7: &quot;Active2&quot; Time (min)" dataDxfId="37"/>
    <tableColumn id="10" xr3:uid="{6721239B-0E7D-4295-AA1A-22673A4AD78D}" name="Step 8: &quot;Job3 Interval&quot; Energy (Wh)" dataDxfId="36"/>
    <tableColumn id="11" xr3:uid="{9CC109CA-C945-432F-86CC-D46BC2130DD7}" name="Step 9: &quot;Job4 Interval&quot; Energy (Wh)" dataDxfId="35"/>
    <tableColumn id="12" xr3:uid="{F2A88E7B-B6DA-4243-A573-5C6C708D48BA}" name="Step 10: &quot;Final Interval&quot; Energy (Wh)" dataDxfId="34"/>
    <tableColumn id="13" xr3:uid="{42F662C3-F1EC-4934-9EFF-9424AAAD607E}" name="Step 10: &quot;Final Interval&quot; Time (min)" dataDxfId="33"/>
    <tableColumn id="14" xr3:uid="{CB65ECAB-C6C7-4D37-980B-FE26E30037D5}" name="Step 11: &quot;Auto-off Interval&quot; Energy (Wh)" dataDxfId="32"/>
    <tableColumn id="15" xr3:uid="{99166D05-8764-4A86-847F-57F173F680C6}" name="Step 11: &quot;Auto-off Interval&quot; Time (min)" dataDxfId="31"/>
    <tableColumn id="16" xr3:uid="{6581F7A6-89B2-4904-84CE-2EDA3A74ECAB}" name="Typical Energy Consumption (TEC) (kWh/wk)" dataDxfId="30"/>
    <tableColumn id="23" xr3:uid="{A9D06F35-01E0-4436-8D74-C32A1829E3DA}" name="Column1" dataDxfId="29"/>
    <tableColumn id="17" xr3:uid="{88423CFC-4C31-46B5-8B10-88861C5F5C73}" name="Number of Jobs" dataDxfId="28">
      <calculatedColumnFormula>IF(B3&lt;=8,8,IF(B3&lt;32,B3,32))</calculatedColumnFormula>
    </tableColumn>
    <tableColumn id="18" xr3:uid="{3CF77273-FE6D-4007-81AE-C9FC18E15233}" name="Vesion 2.0 Daily Job Energy (kWh)" dataDxfId="27">
      <calculatedColumnFormula>IF(G3/1000,(2*G3/1000+(S3-2)*SUM(I3/1000,K3/1000,L3/1000)/3),"N/A")</calculatedColumnFormula>
    </tableColumn>
    <tableColumn id="19" xr3:uid="{D937D22F-D669-4109-AF41-7B7EA985D379}" name="Version 2.0 TEC" dataDxfId="26">
      <calculatedColumnFormula>(5*(Table1[[#This Row],[Vesion 2.0 Daily Job Energy (kWh)]]+(2*Table1[[#This Row],[Step 10: "Final Interval" Energy (Wh)]]/1000)+(24-Table1[[#This Row],[Number of Jobs]]*0.25-2*Table1[[#This Row],[Step 10: "Final Interval" Time (min)]]/60)*IFERROR(IF(Table1[[#This Row],[Step 5: "Sleep Interval" Energy (Wh)]]/1000,Table1[[#This Row],[Step 5: "Sleep Interval" Energy (Wh)]]/1000,Table1[[#This Row],[Step 11: "Auto-off Interval" Energy (Wh)]]/1000/Table1[[#This Row],[Step 11: "Auto-off Interval" Time (min)]]/60),0))+48*IFERROR(IF(Table1[[#This Row],[Step 5: "Sleep Interval" Energy (Wh)]]/1000,Table1[[#This Row],[Step 5: "Sleep Interval" Energy (Wh)]]/1000,Table1[[#This Row],[Step 11: "Auto-off Interval" Energy (Wh)]]/1000/Table1[[#This Row],[Step 11: "Auto-off Interval" Time (min)]]/60),0))</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219B7C9-C1C3-4A66-AA78-CD37076BC8AC}" name="Table2" displayName="Table2" ref="B7:V9" totalsRowShown="0" headerRowDxfId="25" dataDxfId="23" headerRowBorderDxfId="24" tableBorderDxfId="22" totalsRowBorderDxfId="21">
  <autoFilter ref="B7:V9" xr:uid="{00000000-0009-0000-0100-000002000000}"/>
  <tableColumns count="21">
    <tableColumn id="1" xr3:uid="{290A443E-01CC-4A35-8ADB-BFA3BAFCB0F5}" name="Monochrome Product Speed (ipm or mppm)" dataDxfId="20">
      <calculatedColumnFormula>IF(ISNUMBER(B3),B3,"")</calculatedColumnFormula>
    </tableColumn>
    <tableColumn id="2" xr3:uid="{DF54035C-700D-4ED1-88C2-37E28979432A}" name="Step 1: &quot;Off Interval&quot; Energy (Wh)" dataDxfId="19">
      <calculatedColumnFormula>C3</calculatedColumnFormula>
    </tableColumn>
    <tableColumn id="3" xr3:uid="{F45D2C95-727A-4384-B00B-F53EF43B309F}" name="Step 1: &quot;Off Interval&quot; Time (min)" dataDxfId="18">
      <calculatedColumnFormula>D3</calculatedColumnFormula>
    </tableColumn>
    <tableColumn id="4" xr3:uid="{070D0130-FE39-47FA-9255-FF78A9BBF254}" name="Step 3: &quot;Active0&quot; Time (s)" dataDxfId="17">
      <calculatedColumnFormula>E3*60</calculatedColumnFormula>
    </tableColumn>
    <tableColumn id="5" xr3:uid="{12A29DEA-1E3D-49A2-A5D5-879777CF1046}" name="Step 5: &quot;Sleep Interval&quot; Energy (Wh)" dataDxfId="16">
      <calculatedColumnFormula>F3</calculatedColumnFormula>
    </tableColumn>
    <tableColumn id="6" xr3:uid="{56691423-441A-4E0C-94EB-34FF8D1057C9}" name="Step 6: &quot;Job1 Interval&quot; Energy (Wh)" dataDxfId="15">
      <calculatedColumnFormula>G3</calculatedColumnFormula>
    </tableColumn>
    <tableColumn id="7" xr3:uid="{B1FF60ED-C17F-40BE-AD59-7B02D355D426}" name="Step 6: &quot;Active1&quot; Time (s)" dataDxfId="14">
      <calculatedColumnFormula>H3*60</calculatedColumnFormula>
    </tableColumn>
    <tableColumn id="8" xr3:uid="{D038C038-D4AF-479D-94C1-C14C3B5EFA80}" name="Step 7: &quot;Job2 Interval&quot; Energy (Wh)" dataDxfId="13">
      <calculatedColumnFormula>I3</calculatedColumnFormula>
    </tableColumn>
    <tableColumn id="9" xr3:uid="{FE3DB4E7-007B-436E-B18C-B56F6E06BCE7}" name="Step 7: &quot;Active2&quot; Time (s)" dataDxfId="12">
      <calculatedColumnFormula>J3*60</calculatedColumnFormula>
    </tableColumn>
    <tableColumn id="10" xr3:uid="{46E5D83B-F532-4B2D-AD69-19164BC6C7ED}" name="Step 8: &quot;Job3 Interval&quot; Energy (Wh)" dataDxfId="11">
      <calculatedColumnFormula>K3</calculatedColumnFormula>
    </tableColumn>
    <tableColumn id="11" xr3:uid="{B2E49ABE-3C14-410F-A4F0-C6C507B39789}" name="Step 9: &quot;Job4 Interval&quot; Energy (Wh)" dataDxfId="10">
      <calculatedColumnFormula>L3</calculatedColumnFormula>
    </tableColumn>
    <tableColumn id="12" xr3:uid="{9043AE49-7CE6-4FEA-9B4C-1BCA72FFB224}" name="Step 10: &quot;Final Interval&quot; Energy (Wh)" dataDxfId="9">
      <calculatedColumnFormula>M3</calculatedColumnFormula>
    </tableColumn>
    <tableColumn id="13" xr3:uid="{30FC840F-22FE-40B0-9EFE-792B12CFD47B}" name="Step 10: &quot;Final Interval&quot; Time (min)" dataDxfId="8">
      <calculatedColumnFormula>N3</calculatedColumnFormula>
    </tableColumn>
    <tableColumn id="14" xr3:uid="{D792774A-FFC5-42C1-8B2E-425560176816}" name="Step 11: &quot;Auto-off Interval&quot; Energy (Wh)" dataDxfId="7">
      <calculatedColumnFormula>O3</calculatedColumnFormula>
    </tableColumn>
    <tableColumn id="15" xr3:uid="{CBBA5158-43EE-4C2E-A90D-910B8BC9451A}" name="Step 11: &quot;Auto-off Interval&quot; Time (min)" dataDxfId="6">
      <calculatedColumnFormula>P3</calculatedColumnFormula>
    </tableColumn>
    <tableColumn id="16" xr3:uid="{46BB5531-4407-4C13-A6E3-8B23B83A0E2D}" name=" Typical Energy Consumption (TEC) (kWh/wk)" dataDxfId="5">
      <calculatedColumnFormula>Table2[[#This Row],[Version 3.0 TEC2018 (kWh/wk)]]</calculatedColumnFormula>
    </tableColumn>
    <tableColumn id="23" xr3:uid="{96682427-3EFD-45CB-8790-6060CFF67EAF}" name="Column1" dataDxfId="4"/>
    <tableColumn id="17" xr3:uid="{0786BE04-1FE4-49A4-A6C5-353E64515F75}" name="Number of Jobs" dataDxfId="3">
      <calculatedColumnFormula>IF(B8&lt;=8,8,IF(B8&lt;32,B8,32))</calculatedColumnFormula>
    </tableColumn>
    <tableColumn id="20" xr3:uid="{E3455771-4334-4E0B-8B3D-B084C672167E}" name="Version 3.0 Daily Job Energy (kWh)" dataDxfId="2">
      <calculatedColumnFormula>IF(G8/1000,(2*G8/1000+(S8-2)*SUM(I8/1000,K8/1000,L8/1000)/3)/4,"N/A")</calculatedColumnFormula>
    </tableColumn>
    <tableColumn id="21" xr3:uid="{A7B65AF5-C6A7-45A8-9483-FFD3DA6BCADE}" name="Version 3.0 TEC2018 (kWh/wk)" dataDxfId="1">
      <calculatedColumnFormula>(5*(Table2[[#This Row],[Version 3.0 Daily Job Energy (kWh)]]+(2*Table2[[#This Row],[Step 10: "Final Interval" Energy (Wh)]]/1000)+(24-Table2[[#This Row],[Number of Jobs]]/16-2*Table2[[#This Row],[Step 10: "Final Interval" Time (min)]]/60)*IFERROR(IF(Table2[[#This Row],[Step 5: "Sleep Interval" Energy (Wh)]]/1000,Table2[[#This Row],[Step 5: "Sleep Interval" Energy (Wh)]]/1000,Table2[[#This Row],[Step 11: "Auto-off Interval" Energy (Wh)]]/1000/Table2[[#This Row],[Step 11: "Auto-off Interval" Time (min)]]/60),0))+48*IFERROR(IF(Table2[[#This Row],[Step 5: "Sleep Interval" Energy (Wh)]]/1000,Table2[[#This Row],[Step 5: "Sleep Interval" Energy (Wh)]]/1000,Table2[[#This Row],[Step 11: "Auto-off Interval" Energy (Wh)]]/1000/Table2[[#This Row],[Step 11: "Auto-off Interval" Time (min)]]/60),0))</calculatedColumnFormula>
    </tableColumn>
    <tableColumn id="22" xr3:uid="{3FDD7489-8177-4D66-B120-F1A0D9C1DC9F}" name="Version 3.0 TEC2018 (kWh/yr)" dataDxfId="0">
      <calculatedColumnFormula>U8*52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4"/>
  <sheetViews>
    <sheetView zoomScaleNormal="100" workbookViewId="0">
      <selection activeCell="I21" sqref="I21"/>
    </sheetView>
  </sheetViews>
  <sheetFormatPr baseColWidth="10" defaultRowHeight="12.75"/>
  <cols>
    <col min="2" max="2" width="67.28515625" customWidth="1"/>
    <col min="3" max="3" width="34.42578125" customWidth="1"/>
  </cols>
  <sheetData>
    <row r="1" spans="1:15">
      <c r="A1" s="4"/>
      <c r="B1" s="12" t="s">
        <v>116</v>
      </c>
      <c r="C1" s="4"/>
      <c r="D1" s="4"/>
      <c r="E1" s="4"/>
      <c r="F1" s="4"/>
      <c r="G1" s="4"/>
      <c r="H1" s="4"/>
      <c r="I1" s="4"/>
      <c r="J1" s="4"/>
      <c r="K1" s="4"/>
      <c r="L1" s="4"/>
      <c r="M1" s="4"/>
      <c r="N1" s="4"/>
      <c r="O1" s="4"/>
    </row>
    <row r="2" spans="1:15">
      <c r="A2" s="4"/>
      <c r="B2" s="9" t="s">
        <v>115</v>
      </c>
      <c r="C2" s="4"/>
      <c r="D2" s="4"/>
      <c r="E2" s="4"/>
      <c r="F2" s="4"/>
      <c r="G2" s="4"/>
      <c r="H2" s="4"/>
      <c r="I2" s="4"/>
      <c r="J2" s="4"/>
      <c r="K2" s="4"/>
      <c r="L2" s="4"/>
      <c r="M2" s="4"/>
      <c r="N2" s="4"/>
      <c r="O2" s="4"/>
    </row>
    <row r="3" spans="1:15" ht="38.25">
      <c r="A3" s="4"/>
      <c r="B3" s="210" t="s">
        <v>230</v>
      </c>
      <c r="C3" s="4"/>
      <c r="D3" s="4"/>
      <c r="E3" s="4"/>
      <c r="F3" s="4"/>
      <c r="G3" s="4"/>
      <c r="H3" s="4"/>
      <c r="I3" s="4"/>
      <c r="J3" s="4"/>
      <c r="K3" s="4"/>
      <c r="L3" s="4"/>
      <c r="M3" s="4"/>
      <c r="N3" s="4"/>
      <c r="O3" s="4"/>
    </row>
    <row r="4" spans="1:15">
      <c r="A4" s="4"/>
      <c r="B4" s="6" t="s">
        <v>112</v>
      </c>
      <c r="C4" s="4"/>
      <c r="D4" s="4"/>
      <c r="E4" s="4"/>
      <c r="F4" s="4"/>
      <c r="G4" s="4"/>
      <c r="H4" s="4"/>
      <c r="I4" s="4"/>
      <c r="J4" s="4"/>
      <c r="K4" s="4"/>
      <c r="L4" s="4"/>
      <c r="M4" s="4"/>
      <c r="N4" s="4"/>
      <c r="O4" s="4"/>
    </row>
    <row r="5" spans="1:15" ht="25.5">
      <c r="A5" s="4"/>
      <c r="B5" s="210" t="s">
        <v>231</v>
      </c>
      <c r="C5" s="4"/>
      <c r="D5" s="4"/>
      <c r="E5" s="4"/>
      <c r="F5" s="4"/>
      <c r="G5" s="4"/>
      <c r="H5" s="4"/>
      <c r="I5" s="4"/>
      <c r="J5" s="4"/>
      <c r="K5" s="4"/>
      <c r="L5" s="4"/>
      <c r="M5" s="4"/>
      <c r="N5" s="4"/>
      <c r="O5" s="4"/>
    </row>
    <row r="6" spans="1:15">
      <c r="A6" s="4"/>
      <c r="B6" s="211" t="s">
        <v>238</v>
      </c>
      <c r="C6" s="4"/>
      <c r="D6" s="4"/>
      <c r="E6" s="4"/>
      <c r="F6" s="4"/>
      <c r="G6" s="4"/>
      <c r="H6" s="4"/>
      <c r="I6" s="4"/>
      <c r="J6" s="4"/>
      <c r="K6" s="4"/>
      <c r="L6" s="4"/>
      <c r="M6" s="4"/>
      <c r="N6" s="4"/>
      <c r="O6" s="4"/>
    </row>
    <row r="7" spans="1:15">
      <c r="A7" s="4"/>
      <c r="B7" s="211" t="s">
        <v>232</v>
      </c>
      <c r="C7" s="4"/>
      <c r="D7" s="4"/>
      <c r="E7" s="4"/>
      <c r="F7" s="4"/>
      <c r="G7" s="4"/>
      <c r="H7" s="4"/>
      <c r="I7" s="4"/>
      <c r="J7" s="4"/>
      <c r="K7" s="4"/>
      <c r="L7" s="4"/>
      <c r="M7" s="4"/>
      <c r="N7" s="4"/>
      <c r="O7" s="4"/>
    </row>
    <row r="8" spans="1:15">
      <c r="A8" s="4"/>
      <c r="B8" s="7"/>
      <c r="C8" s="4"/>
      <c r="D8" s="4"/>
      <c r="E8" s="4"/>
      <c r="F8" s="4"/>
      <c r="G8" s="4"/>
      <c r="H8" s="4"/>
      <c r="I8" s="4"/>
      <c r="J8" s="4"/>
      <c r="K8" s="4"/>
      <c r="L8" s="4"/>
      <c r="M8" s="4"/>
      <c r="N8" s="4"/>
      <c r="O8" s="4"/>
    </row>
    <row r="9" spans="1:15">
      <c r="A9" s="4"/>
      <c r="B9" s="211" t="s">
        <v>233</v>
      </c>
      <c r="C9" s="4"/>
      <c r="D9" s="4"/>
      <c r="E9" s="4"/>
      <c r="F9" s="4"/>
      <c r="G9" s="4"/>
      <c r="H9" s="4"/>
      <c r="I9" s="4"/>
      <c r="J9" s="4"/>
      <c r="K9" s="4"/>
      <c r="L9" s="4"/>
      <c r="M9" s="4"/>
      <c r="N9" s="4"/>
      <c r="O9" s="4"/>
    </row>
    <row r="10" spans="1:15">
      <c r="A10" s="4"/>
      <c r="B10" s="7"/>
      <c r="C10" s="4"/>
      <c r="D10" s="4"/>
      <c r="E10" s="4"/>
      <c r="F10" s="4"/>
      <c r="G10" s="4"/>
      <c r="H10" s="4"/>
      <c r="I10" s="4"/>
      <c r="J10" s="4"/>
      <c r="K10" s="4"/>
      <c r="L10" s="4"/>
      <c r="M10" s="4"/>
      <c r="N10" s="4"/>
      <c r="O10" s="4"/>
    </row>
    <row r="11" spans="1:15">
      <c r="A11" s="4"/>
      <c r="B11" s="8" t="s">
        <v>113</v>
      </c>
      <c r="C11" s="4"/>
      <c r="D11" s="4"/>
      <c r="E11" s="4"/>
      <c r="F11" s="4"/>
      <c r="G11" s="4"/>
      <c r="H11" s="4"/>
      <c r="I11" s="4"/>
      <c r="J11" s="4"/>
      <c r="K11" s="4"/>
      <c r="L11" s="4"/>
      <c r="M11" s="4"/>
      <c r="N11" s="4"/>
      <c r="O11" s="4"/>
    </row>
    <row r="12" spans="1:15" ht="63.75">
      <c r="A12" s="4"/>
      <c r="B12" s="210" t="s">
        <v>234</v>
      </c>
      <c r="C12" s="4"/>
      <c r="D12" s="4"/>
      <c r="E12" s="4"/>
      <c r="F12" s="4"/>
      <c r="G12" s="4"/>
      <c r="H12" s="4"/>
      <c r="I12" s="4"/>
      <c r="J12" s="4"/>
      <c r="K12" s="4"/>
      <c r="L12" s="4"/>
      <c r="M12" s="4"/>
      <c r="N12" s="4"/>
      <c r="O12" s="4"/>
    </row>
    <row r="13" spans="1:15" ht="38.25">
      <c r="A13" s="4"/>
      <c r="B13" s="10" t="s">
        <v>114</v>
      </c>
      <c r="C13" s="4"/>
      <c r="D13" s="4"/>
      <c r="E13" s="4"/>
      <c r="F13" s="4"/>
      <c r="G13" s="4"/>
      <c r="H13" s="4"/>
      <c r="I13" s="4"/>
      <c r="J13" s="4"/>
      <c r="K13" s="4"/>
      <c r="L13" s="4"/>
      <c r="M13" s="4"/>
      <c r="N13" s="4"/>
      <c r="O13" s="4"/>
    </row>
    <row r="14" spans="1:15" ht="15.75" customHeight="1">
      <c r="A14" s="4"/>
      <c r="B14" s="5"/>
      <c r="C14" s="4"/>
      <c r="D14" s="4"/>
      <c r="E14" s="4"/>
      <c r="F14" s="4"/>
      <c r="G14" s="4"/>
      <c r="H14" s="4"/>
      <c r="I14" s="4"/>
      <c r="J14" s="4"/>
      <c r="K14" s="4"/>
      <c r="L14" s="4"/>
      <c r="M14" s="4"/>
      <c r="N14" s="4"/>
      <c r="O14" s="4"/>
    </row>
    <row r="15" spans="1:15">
      <c r="A15" s="4"/>
      <c r="B15" s="11"/>
      <c r="C15" s="4"/>
      <c r="D15" s="4"/>
      <c r="E15" s="4"/>
      <c r="F15" s="4"/>
      <c r="G15" s="4"/>
      <c r="H15" s="4"/>
      <c r="I15" s="4"/>
      <c r="J15" s="4"/>
      <c r="K15" s="4"/>
      <c r="L15" s="4"/>
      <c r="M15" s="4"/>
      <c r="N15" s="4"/>
      <c r="O15" s="4"/>
    </row>
    <row r="16" spans="1:15">
      <c r="A16" s="4"/>
      <c r="B16" s="13" t="s">
        <v>117</v>
      </c>
      <c r="C16" s="4"/>
      <c r="D16" s="4"/>
      <c r="E16" s="4"/>
      <c r="F16" s="4"/>
      <c r="G16" s="4"/>
      <c r="H16" s="4"/>
      <c r="I16" s="4"/>
      <c r="J16" s="4"/>
      <c r="K16" s="4"/>
      <c r="L16" s="4"/>
      <c r="M16" s="4"/>
      <c r="N16" s="4"/>
      <c r="O16" s="4"/>
    </row>
    <row r="17" spans="1:15">
      <c r="A17" s="4"/>
      <c r="B17" s="9" t="s">
        <v>111</v>
      </c>
      <c r="C17" s="4"/>
      <c r="D17" s="4"/>
      <c r="E17" s="4"/>
      <c r="F17" s="4"/>
      <c r="G17" s="4"/>
      <c r="H17" s="4"/>
      <c r="I17" s="4"/>
      <c r="J17" s="4"/>
      <c r="K17" s="4"/>
      <c r="L17" s="4"/>
      <c r="M17" s="4"/>
      <c r="N17" s="4"/>
      <c r="O17" s="4"/>
    </row>
    <row r="18" spans="1:15" ht="38.25">
      <c r="A18" s="4"/>
      <c r="B18" s="210" t="s">
        <v>235</v>
      </c>
      <c r="C18" s="4"/>
      <c r="D18" s="4"/>
      <c r="E18" s="4"/>
      <c r="F18" s="4"/>
      <c r="G18" s="4"/>
      <c r="H18" s="4"/>
      <c r="I18" s="4"/>
      <c r="J18" s="4"/>
      <c r="K18" s="4"/>
      <c r="L18" s="4"/>
      <c r="M18" s="4"/>
      <c r="N18" s="4"/>
      <c r="O18" s="4"/>
    </row>
    <row r="19" spans="1:15">
      <c r="A19" s="4"/>
      <c r="B19" s="6" t="s">
        <v>110</v>
      </c>
      <c r="C19" s="4"/>
      <c r="D19" s="4"/>
      <c r="E19" s="4"/>
      <c r="F19" s="4"/>
      <c r="G19" s="4"/>
      <c r="H19" s="4"/>
      <c r="I19" s="4"/>
      <c r="J19" s="4"/>
      <c r="K19" s="4"/>
      <c r="L19" s="4"/>
      <c r="M19" s="4"/>
      <c r="N19" s="4"/>
      <c r="O19" s="4"/>
    </row>
    <row r="20" spans="1:15" ht="25.5">
      <c r="A20" s="4"/>
      <c r="B20" s="210" t="s">
        <v>236</v>
      </c>
      <c r="C20" s="4"/>
      <c r="D20" s="4"/>
      <c r="E20" s="4"/>
      <c r="F20" s="4"/>
      <c r="G20" s="4"/>
      <c r="H20" s="4"/>
      <c r="I20" s="4"/>
      <c r="J20" s="4"/>
      <c r="K20" s="4"/>
      <c r="L20" s="4"/>
      <c r="M20" s="4"/>
      <c r="N20" s="4"/>
      <c r="O20" s="4"/>
    </row>
    <row r="21" spans="1:15">
      <c r="A21" s="4"/>
      <c r="B21" s="211" t="s">
        <v>237</v>
      </c>
      <c r="C21" s="4"/>
      <c r="D21" s="4"/>
      <c r="E21" s="4"/>
      <c r="F21" s="4"/>
      <c r="G21" s="4"/>
      <c r="H21" s="4"/>
      <c r="I21" s="4"/>
      <c r="J21" s="4"/>
      <c r="K21" s="4"/>
      <c r="L21" s="4"/>
      <c r="M21" s="4"/>
      <c r="N21" s="4"/>
      <c r="O21" s="4"/>
    </row>
    <row r="22" spans="1:15">
      <c r="A22" s="4"/>
      <c r="B22" s="211" t="s">
        <v>239</v>
      </c>
      <c r="C22" s="4"/>
      <c r="D22" s="4"/>
      <c r="E22" s="4"/>
      <c r="F22" s="4"/>
      <c r="G22" s="4"/>
      <c r="H22" s="4"/>
      <c r="I22" s="4"/>
      <c r="J22" s="4"/>
      <c r="K22" s="4"/>
      <c r="L22" s="4"/>
      <c r="M22" s="4"/>
      <c r="N22" s="4"/>
      <c r="O22" s="4"/>
    </row>
    <row r="23" spans="1:15">
      <c r="A23" s="4"/>
      <c r="B23" s="7"/>
      <c r="C23" s="4"/>
      <c r="D23" s="4"/>
      <c r="E23" s="4"/>
      <c r="F23" s="4"/>
      <c r="G23" s="4"/>
      <c r="H23" s="4"/>
      <c r="I23" s="4"/>
      <c r="J23" s="4"/>
      <c r="K23" s="4"/>
      <c r="L23" s="4"/>
      <c r="M23" s="4"/>
      <c r="N23" s="4"/>
      <c r="O23" s="4"/>
    </row>
    <row r="24" spans="1:15">
      <c r="A24" s="4"/>
      <c r="B24" s="211" t="s">
        <v>240</v>
      </c>
      <c r="C24" s="4"/>
      <c r="D24" s="4"/>
      <c r="E24" s="4"/>
      <c r="F24" s="4"/>
      <c r="G24" s="4"/>
      <c r="H24" s="4"/>
      <c r="I24" s="4"/>
      <c r="J24" s="4"/>
      <c r="K24" s="4"/>
      <c r="L24" s="4"/>
      <c r="M24" s="4"/>
      <c r="N24" s="4"/>
      <c r="O24" s="4"/>
    </row>
    <row r="25" spans="1:15">
      <c r="A25" s="4"/>
      <c r="B25" s="7"/>
      <c r="C25" s="4"/>
      <c r="D25" s="4"/>
      <c r="E25" s="4"/>
      <c r="F25" s="4"/>
      <c r="G25" s="4"/>
      <c r="H25" s="4"/>
      <c r="I25" s="4"/>
      <c r="J25" s="4"/>
      <c r="K25" s="4"/>
      <c r="L25" s="4"/>
      <c r="M25" s="4"/>
      <c r="N25" s="4"/>
      <c r="O25" s="4"/>
    </row>
    <row r="26" spans="1:15">
      <c r="A26" s="4"/>
      <c r="B26" s="8" t="s">
        <v>27</v>
      </c>
      <c r="C26" s="4"/>
      <c r="D26" s="4"/>
      <c r="E26" s="4"/>
      <c r="F26" s="4"/>
      <c r="G26" s="4"/>
      <c r="H26" s="4"/>
      <c r="I26" s="4"/>
      <c r="J26" s="4"/>
      <c r="K26" s="4"/>
      <c r="L26" s="4"/>
      <c r="M26" s="4"/>
      <c r="N26" s="4"/>
      <c r="O26" s="4"/>
    </row>
    <row r="27" spans="1:15" ht="63.75">
      <c r="A27" s="4"/>
      <c r="B27" s="210" t="s">
        <v>241</v>
      </c>
      <c r="C27" s="4"/>
      <c r="D27" s="4"/>
      <c r="E27" s="4"/>
      <c r="F27" s="4"/>
      <c r="G27" s="4"/>
      <c r="H27" s="4"/>
      <c r="I27" s="4"/>
      <c r="J27" s="4"/>
      <c r="K27" s="4"/>
      <c r="L27" s="4"/>
      <c r="M27" s="4"/>
      <c r="N27" s="4"/>
      <c r="O27" s="4"/>
    </row>
    <row r="28" spans="1:15" ht="38.25">
      <c r="A28" s="4"/>
      <c r="B28" s="5" t="s">
        <v>26</v>
      </c>
      <c r="C28" s="4"/>
      <c r="D28" s="4"/>
      <c r="E28" s="4"/>
      <c r="F28" s="4"/>
      <c r="G28" s="4"/>
      <c r="H28" s="4"/>
      <c r="I28" s="4"/>
      <c r="J28" s="4"/>
      <c r="K28" s="4"/>
      <c r="L28" s="4"/>
      <c r="M28" s="4"/>
      <c r="N28" s="4"/>
      <c r="O28" s="4"/>
    </row>
    <row r="29" spans="1:15">
      <c r="A29" s="4"/>
      <c r="B29" s="5"/>
      <c r="C29" s="4"/>
      <c r="D29" s="4"/>
      <c r="E29" s="4"/>
      <c r="F29" s="4"/>
      <c r="G29" s="4"/>
      <c r="H29" s="4"/>
      <c r="I29" s="4"/>
      <c r="J29" s="4"/>
      <c r="K29" s="4"/>
      <c r="L29" s="4"/>
      <c r="M29" s="4"/>
      <c r="N29" s="4"/>
      <c r="O29" s="4"/>
    </row>
    <row r="30" spans="1:15">
      <c r="A30" s="4"/>
      <c r="B30" s="4"/>
      <c r="C30" s="4"/>
      <c r="D30" s="4"/>
      <c r="E30" s="4"/>
      <c r="F30" s="4"/>
      <c r="G30" s="4"/>
      <c r="H30" s="4"/>
      <c r="I30" s="4"/>
      <c r="J30" s="4"/>
      <c r="K30" s="4"/>
      <c r="L30" s="4"/>
      <c r="M30" s="4"/>
      <c r="N30" s="4"/>
      <c r="O30" s="4"/>
    </row>
    <row r="31" spans="1:15">
      <c r="A31" s="4"/>
      <c r="B31" s="4"/>
      <c r="C31" s="4"/>
      <c r="D31" s="4"/>
      <c r="E31" s="4"/>
      <c r="F31" s="4"/>
      <c r="G31" s="4"/>
      <c r="H31" s="4"/>
      <c r="I31" s="4"/>
      <c r="J31" s="4"/>
      <c r="K31" s="4"/>
      <c r="L31" s="4"/>
      <c r="M31" s="4"/>
      <c r="N31" s="4"/>
      <c r="O31" s="4"/>
    </row>
    <row r="32" spans="1:15">
      <c r="A32" s="4"/>
      <c r="B32" s="4"/>
      <c r="C32" s="4"/>
      <c r="D32" s="4"/>
      <c r="E32" s="4"/>
      <c r="F32" s="4"/>
      <c r="G32" s="4"/>
      <c r="H32" s="4"/>
      <c r="I32" s="4"/>
      <c r="J32" s="4"/>
      <c r="K32" s="4"/>
      <c r="L32" s="4"/>
      <c r="M32" s="4"/>
      <c r="N32" s="4"/>
      <c r="O32" s="4"/>
    </row>
    <row r="33" spans="1:15">
      <c r="A33" s="4"/>
      <c r="B33" s="4"/>
      <c r="C33" s="4"/>
      <c r="D33" s="4"/>
      <c r="E33" s="4"/>
      <c r="F33" s="4"/>
      <c r="G33" s="4"/>
      <c r="H33" s="4"/>
      <c r="I33" s="4"/>
      <c r="J33" s="4"/>
      <c r="K33" s="4"/>
      <c r="L33" s="4"/>
      <c r="M33" s="4"/>
      <c r="N33" s="4"/>
      <c r="O33" s="4"/>
    </row>
    <row r="34" spans="1:15">
      <c r="A34" s="4"/>
      <c r="B34" s="4"/>
      <c r="C34" s="4"/>
      <c r="D34" s="4"/>
      <c r="E34" s="4"/>
      <c r="F34" s="4"/>
      <c r="G34" s="4"/>
      <c r="H34" s="4"/>
      <c r="I34" s="4"/>
      <c r="J34" s="4"/>
      <c r="K34" s="4"/>
      <c r="L34" s="4"/>
      <c r="M34" s="4"/>
      <c r="N34" s="4"/>
      <c r="O34" s="4"/>
    </row>
    <row r="35" spans="1:15">
      <c r="A35" s="4"/>
      <c r="B35" s="4"/>
      <c r="C35" s="4"/>
      <c r="D35" s="4"/>
      <c r="E35" s="4"/>
      <c r="F35" s="4"/>
      <c r="G35" s="4"/>
      <c r="H35" s="4"/>
      <c r="I35" s="4"/>
      <c r="J35" s="4"/>
      <c r="K35" s="4"/>
      <c r="L35" s="4"/>
      <c r="M35" s="4"/>
      <c r="N35" s="4"/>
      <c r="O35" s="4"/>
    </row>
    <row r="36" spans="1:15">
      <c r="A36" s="4"/>
      <c r="B36" s="4"/>
      <c r="C36" s="4"/>
      <c r="D36" s="4"/>
      <c r="E36" s="4"/>
      <c r="F36" s="4"/>
      <c r="G36" s="4"/>
      <c r="H36" s="4"/>
      <c r="I36" s="4"/>
      <c r="J36" s="4"/>
      <c r="K36" s="4"/>
      <c r="L36" s="4"/>
      <c r="M36" s="4"/>
      <c r="N36" s="4"/>
      <c r="O36" s="4"/>
    </row>
    <row r="37" spans="1:15">
      <c r="A37" s="4"/>
      <c r="B37" s="4"/>
      <c r="C37" s="4"/>
      <c r="D37" s="4"/>
      <c r="E37" s="4"/>
      <c r="F37" s="4"/>
      <c r="G37" s="4"/>
      <c r="H37" s="4"/>
      <c r="I37" s="4"/>
      <c r="J37" s="4"/>
      <c r="K37" s="4"/>
      <c r="L37" s="4"/>
      <c r="M37" s="4"/>
      <c r="N37" s="4"/>
      <c r="O37" s="4"/>
    </row>
    <row r="38" spans="1:15">
      <c r="A38" s="4"/>
      <c r="B38" s="4"/>
      <c r="C38" s="4"/>
      <c r="D38" s="4"/>
      <c r="E38" s="4"/>
      <c r="F38" s="4"/>
      <c r="G38" s="4"/>
      <c r="H38" s="4"/>
      <c r="I38" s="4"/>
      <c r="J38" s="4"/>
      <c r="K38" s="4"/>
      <c r="L38" s="4"/>
      <c r="M38" s="4"/>
      <c r="N38" s="4"/>
      <c r="O38" s="4"/>
    </row>
    <row r="39" spans="1:15">
      <c r="A39" s="4"/>
      <c r="B39" s="4"/>
      <c r="C39" s="4"/>
      <c r="D39" s="4"/>
      <c r="E39" s="4"/>
      <c r="F39" s="4"/>
      <c r="G39" s="4"/>
      <c r="H39" s="4"/>
      <c r="I39" s="4"/>
      <c r="J39" s="4"/>
      <c r="K39" s="4"/>
      <c r="L39" s="4"/>
      <c r="M39" s="4"/>
      <c r="N39" s="4"/>
      <c r="O39" s="4"/>
    </row>
    <row r="40" spans="1:15">
      <c r="A40" s="4"/>
      <c r="B40" s="4"/>
      <c r="C40" s="4"/>
      <c r="D40" s="4"/>
      <c r="E40" s="4"/>
      <c r="F40" s="4"/>
      <c r="G40" s="4"/>
      <c r="H40" s="4"/>
      <c r="I40" s="4"/>
      <c r="J40" s="4"/>
      <c r="K40" s="4"/>
      <c r="L40" s="4"/>
      <c r="M40" s="4"/>
      <c r="N40" s="4"/>
      <c r="O40" s="4"/>
    </row>
    <row r="41" spans="1:15">
      <c r="A41" s="4"/>
      <c r="B41" s="4"/>
      <c r="C41" s="4"/>
      <c r="D41" s="4"/>
      <c r="E41" s="4"/>
      <c r="F41" s="4"/>
      <c r="G41" s="4"/>
      <c r="H41" s="4"/>
      <c r="I41" s="4"/>
      <c r="J41" s="4"/>
      <c r="K41" s="4"/>
      <c r="L41" s="4"/>
      <c r="M41" s="4"/>
      <c r="N41" s="4"/>
      <c r="O41" s="4"/>
    </row>
    <row r="42" spans="1:15">
      <c r="A42" s="4"/>
      <c r="B42" s="4"/>
      <c r="C42" s="4"/>
      <c r="D42" s="4"/>
      <c r="E42" s="4"/>
      <c r="F42" s="4"/>
      <c r="G42" s="4"/>
      <c r="H42" s="4"/>
      <c r="I42" s="4"/>
      <c r="J42" s="4"/>
      <c r="K42" s="4"/>
      <c r="L42" s="4"/>
      <c r="M42" s="4"/>
      <c r="N42" s="4"/>
      <c r="O42" s="4"/>
    </row>
    <row r="43" spans="1:15">
      <c r="A43" s="4"/>
      <c r="B43" s="4"/>
      <c r="C43" s="4"/>
      <c r="D43" s="4"/>
      <c r="E43" s="4"/>
      <c r="F43" s="4"/>
      <c r="G43" s="4"/>
      <c r="H43" s="4"/>
      <c r="I43" s="4"/>
      <c r="J43" s="4"/>
      <c r="K43" s="4"/>
      <c r="L43" s="4"/>
      <c r="M43" s="4"/>
      <c r="N43" s="4"/>
      <c r="O43" s="4"/>
    </row>
    <row r="44" spans="1:15">
      <c r="A44" s="4"/>
      <c r="B44" s="4"/>
      <c r="C44" s="4"/>
      <c r="D44" s="4"/>
      <c r="E44" s="4"/>
      <c r="F44" s="4"/>
      <c r="G44" s="4"/>
      <c r="H44" s="4"/>
      <c r="I44" s="4"/>
      <c r="J44" s="4"/>
      <c r="K44" s="4"/>
      <c r="L44" s="4"/>
      <c r="M44" s="4"/>
      <c r="N44" s="4"/>
      <c r="O44" s="4"/>
    </row>
    <row r="45" spans="1:15">
      <c r="A45" s="4"/>
      <c r="B45" s="4"/>
      <c r="C45" s="4"/>
      <c r="D45" s="4"/>
      <c r="E45" s="4"/>
      <c r="F45" s="4"/>
      <c r="G45" s="4"/>
      <c r="H45" s="4"/>
      <c r="I45" s="4"/>
      <c r="J45" s="4"/>
      <c r="K45" s="4"/>
      <c r="L45" s="4"/>
      <c r="M45" s="4"/>
      <c r="N45" s="4"/>
      <c r="O45" s="4"/>
    </row>
    <row r="46" spans="1:15">
      <c r="A46" s="4"/>
      <c r="B46" s="4"/>
      <c r="C46" s="4"/>
      <c r="D46" s="4"/>
      <c r="E46" s="4"/>
      <c r="F46" s="4"/>
      <c r="G46" s="4"/>
      <c r="H46" s="4"/>
      <c r="I46" s="4"/>
      <c r="J46" s="4"/>
      <c r="K46" s="4"/>
      <c r="L46" s="4"/>
      <c r="M46" s="4"/>
      <c r="N46" s="4"/>
      <c r="O46" s="4"/>
    </row>
    <row r="47" spans="1:15">
      <c r="A47" s="4"/>
      <c r="B47" s="4"/>
      <c r="C47" s="4"/>
      <c r="D47" s="4"/>
      <c r="E47" s="4"/>
      <c r="F47" s="4"/>
      <c r="G47" s="4"/>
      <c r="H47" s="4"/>
      <c r="I47" s="4"/>
      <c r="J47" s="4"/>
      <c r="K47" s="4"/>
      <c r="L47" s="4"/>
      <c r="M47" s="4"/>
      <c r="N47" s="4"/>
      <c r="O47" s="4"/>
    </row>
    <row r="48" spans="1:15">
      <c r="A48" s="4"/>
      <c r="B48" s="4"/>
      <c r="C48" s="4"/>
      <c r="D48" s="4"/>
      <c r="E48" s="4"/>
      <c r="F48" s="4"/>
      <c r="G48" s="4"/>
      <c r="H48" s="4"/>
      <c r="I48" s="4"/>
      <c r="J48" s="4"/>
      <c r="K48" s="4"/>
      <c r="L48" s="4"/>
      <c r="M48" s="4"/>
      <c r="N48" s="4"/>
      <c r="O48" s="4"/>
    </row>
    <row r="49" spans="1:15">
      <c r="A49" s="4"/>
      <c r="B49" s="4"/>
      <c r="C49" s="4"/>
      <c r="D49" s="4"/>
      <c r="E49" s="4"/>
      <c r="F49" s="4"/>
      <c r="G49" s="4"/>
      <c r="H49" s="4"/>
      <c r="I49" s="4"/>
      <c r="J49" s="4"/>
      <c r="K49" s="4"/>
      <c r="L49" s="4"/>
      <c r="M49" s="4"/>
      <c r="N49" s="4"/>
      <c r="O49" s="4"/>
    </row>
    <row r="50" spans="1:15">
      <c r="A50" s="4"/>
      <c r="B50" s="4"/>
      <c r="C50" s="4"/>
      <c r="D50" s="4"/>
      <c r="E50" s="4"/>
      <c r="F50" s="4"/>
      <c r="G50" s="4"/>
      <c r="H50" s="4"/>
      <c r="I50" s="4"/>
      <c r="J50" s="4"/>
      <c r="K50" s="4"/>
      <c r="L50" s="4"/>
      <c r="M50" s="4"/>
      <c r="N50" s="4"/>
      <c r="O50" s="4"/>
    </row>
    <row r="51" spans="1:15">
      <c r="A51" s="4"/>
      <c r="B51" s="4"/>
      <c r="C51" s="4"/>
      <c r="D51" s="4"/>
      <c r="E51" s="4"/>
      <c r="F51" s="4"/>
      <c r="G51" s="4"/>
      <c r="H51" s="4"/>
      <c r="I51" s="4"/>
      <c r="J51" s="4"/>
      <c r="K51" s="4"/>
      <c r="L51" s="4"/>
      <c r="M51" s="4"/>
      <c r="N51" s="4"/>
      <c r="O51" s="4"/>
    </row>
    <row r="52" spans="1:15">
      <c r="A52" s="4"/>
      <c r="B52" s="4"/>
      <c r="C52" s="4"/>
      <c r="D52" s="4"/>
      <c r="E52" s="4"/>
      <c r="F52" s="4"/>
      <c r="G52" s="4"/>
      <c r="H52" s="4"/>
      <c r="I52" s="4"/>
      <c r="J52" s="4"/>
      <c r="K52" s="4"/>
      <c r="L52" s="4"/>
      <c r="M52" s="4"/>
      <c r="N52" s="4"/>
      <c r="O52" s="4"/>
    </row>
    <row r="53" spans="1:15">
      <c r="A53" s="4"/>
      <c r="B53" s="4"/>
      <c r="C53" s="4"/>
      <c r="D53" s="4"/>
      <c r="E53" s="4"/>
      <c r="F53" s="4"/>
      <c r="G53" s="4"/>
      <c r="H53" s="4"/>
      <c r="I53" s="4"/>
      <c r="J53" s="4"/>
      <c r="K53" s="4"/>
      <c r="L53" s="4"/>
      <c r="M53" s="4"/>
      <c r="N53" s="4"/>
      <c r="O53" s="4"/>
    </row>
    <row r="54" spans="1:15">
      <c r="A54" s="4"/>
      <c r="B54" s="4"/>
      <c r="C54" s="4"/>
      <c r="D54" s="4"/>
      <c r="E54" s="4"/>
      <c r="F54" s="4"/>
      <c r="G54" s="4"/>
      <c r="H54" s="4"/>
      <c r="I54" s="4"/>
      <c r="J54" s="4"/>
      <c r="K54" s="4"/>
      <c r="L54" s="4"/>
      <c r="M54" s="4"/>
      <c r="N54" s="4"/>
      <c r="O54" s="4"/>
    </row>
    <row r="55" spans="1:15">
      <c r="A55" s="4"/>
      <c r="B55" s="4"/>
      <c r="C55" s="4"/>
      <c r="D55" s="4"/>
      <c r="E55" s="4"/>
      <c r="F55" s="4"/>
      <c r="G55" s="4"/>
      <c r="H55" s="4"/>
      <c r="I55" s="4"/>
      <c r="J55" s="4"/>
      <c r="K55" s="4"/>
      <c r="L55" s="4"/>
      <c r="M55" s="4"/>
      <c r="N55" s="4"/>
      <c r="O55" s="4"/>
    </row>
    <row r="56" spans="1:15">
      <c r="A56" s="4"/>
      <c r="B56" s="4"/>
      <c r="C56" s="4"/>
      <c r="D56" s="4"/>
      <c r="E56" s="4"/>
      <c r="F56" s="4"/>
      <c r="G56" s="4"/>
      <c r="H56" s="4"/>
      <c r="I56" s="4"/>
      <c r="J56" s="4"/>
      <c r="K56" s="4"/>
      <c r="L56" s="4"/>
      <c r="M56" s="4"/>
      <c r="N56" s="4"/>
      <c r="O56" s="4"/>
    </row>
    <row r="57" spans="1:15">
      <c r="A57" s="4"/>
      <c r="B57" s="4"/>
      <c r="C57" s="4"/>
      <c r="D57" s="4"/>
      <c r="E57" s="4"/>
      <c r="F57" s="4"/>
      <c r="G57" s="4"/>
      <c r="H57" s="4"/>
      <c r="I57" s="4"/>
      <c r="J57" s="4"/>
      <c r="K57" s="4"/>
      <c r="L57" s="4"/>
      <c r="M57" s="4"/>
      <c r="N57" s="4"/>
      <c r="O57" s="4"/>
    </row>
    <row r="58" spans="1:15">
      <c r="A58" s="4"/>
      <c r="B58" s="4"/>
      <c r="C58" s="4"/>
      <c r="D58" s="4"/>
      <c r="E58" s="4"/>
      <c r="F58" s="4"/>
      <c r="G58" s="4"/>
      <c r="H58" s="4"/>
      <c r="I58" s="4"/>
      <c r="J58" s="4"/>
      <c r="K58" s="4"/>
      <c r="L58" s="4"/>
      <c r="M58" s="4"/>
      <c r="N58" s="4"/>
      <c r="O58" s="4"/>
    </row>
    <row r="59" spans="1:15">
      <c r="A59" s="4"/>
      <c r="B59" s="4"/>
      <c r="C59" s="4"/>
      <c r="D59" s="4"/>
      <c r="E59" s="4"/>
      <c r="F59" s="4"/>
      <c r="G59" s="4"/>
      <c r="H59" s="4"/>
      <c r="I59" s="4"/>
      <c r="J59" s="4"/>
      <c r="K59" s="4"/>
      <c r="L59" s="4"/>
      <c r="M59" s="4"/>
      <c r="N59" s="4"/>
      <c r="O59" s="4"/>
    </row>
    <row r="60" spans="1:15">
      <c r="A60" s="4"/>
      <c r="B60" s="4"/>
      <c r="C60" s="4"/>
      <c r="D60" s="4"/>
      <c r="E60" s="4"/>
      <c r="F60" s="4"/>
      <c r="G60" s="4"/>
      <c r="H60" s="4"/>
      <c r="I60" s="4"/>
      <c r="J60" s="4"/>
      <c r="K60" s="4"/>
      <c r="L60" s="4"/>
      <c r="M60" s="4"/>
      <c r="N60" s="4"/>
      <c r="O60" s="4"/>
    </row>
    <row r="61" spans="1:15">
      <c r="A61" s="4"/>
      <c r="B61" s="4"/>
      <c r="C61" s="4"/>
      <c r="D61" s="4"/>
      <c r="E61" s="4"/>
      <c r="F61" s="4"/>
      <c r="G61" s="4"/>
      <c r="H61" s="4"/>
      <c r="I61" s="4"/>
      <c r="J61" s="4"/>
      <c r="K61" s="4"/>
      <c r="L61" s="4"/>
      <c r="M61" s="4"/>
      <c r="N61" s="4"/>
      <c r="O61" s="4"/>
    </row>
    <row r="62" spans="1:15">
      <c r="A62" s="4"/>
      <c r="B62" s="4"/>
      <c r="C62" s="4"/>
      <c r="D62" s="4"/>
      <c r="E62" s="4"/>
      <c r="F62" s="4"/>
      <c r="G62" s="4"/>
      <c r="H62" s="4"/>
      <c r="I62" s="4"/>
      <c r="J62" s="4"/>
      <c r="K62" s="4"/>
      <c r="L62" s="4"/>
      <c r="M62" s="4"/>
      <c r="N62" s="4"/>
      <c r="O62" s="4"/>
    </row>
    <row r="63" spans="1:15">
      <c r="A63" s="4"/>
      <c r="B63" s="4"/>
      <c r="C63" s="4"/>
      <c r="D63" s="4"/>
      <c r="E63" s="4"/>
      <c r="F63" s="4"/>
      <c r="G63" s="4"/>
      <c r="H63" s="4"/>
      <c r="I63" s="4"/>
      <c r="J63" s="4"/>
      <c r="K63" s="4"/>
      <c r="L63" s="4"/>
      <c r="M63" s="4"/>
      <c r="N63" s="4"/>
      <c r="O63" s="4"/>
    </row>
    <row r="64" spans="1:15">
      <c r="A64" s="4"/>
      <c r="B64" s="4"/>
      <c r="C64" s="4"/>
      <c r="D64" s="4"/>
      <c r="E64" s="4"/>
      <c r="F64" s="4"/>
      <c r="G64" s="4"/>
      <c r="H64" s="4"/>
      <c r="I64" s="4"/>
      <c r="J64" s="4"/>
      <c r="K64" s="4"/>
      <c r="L64" s="4"/>
      <c r="M64" s="4"/>
      <c r="N64" s="4"/>
      <c r="O64" s="4"/>
    </row>
    <row r="65" spans="1:15">
      <c r="A65" s="4"/>
      <c r="B65" s="4"/>
      <c r="C65" s="4"/>
      <c r="D65" s="4"/>
      <c r="E65" s="4"/>
      <c r="F65" s="4"/>
      <c r="G65" s="4"/>
      <c r="H65" s="4"/>
      <c r="I65" s="4"/>
      <c r="J65" s="4"/>
      <c r="K65" s="4"/>
      <c r="L65" s="4"/>
      <c r="M65" s="4"/>
      <c r="N65" s="4"/>
      <c r="O65" s="4"/>
    </row>
    <row r="66" spans="1:15">
      <c r="A66" s="4"/>
      <c r="B66" s="4"/>
      <c r="C66" s="4"/>
      <c r="D66" s="4"/>
      <c r="E66" s="4"/>
      <c r="F66" s="4"/>
      <c r="G66" s="4"/>
      <c r="H66" s="4"/>
      <c r="I66" s="4"/>
      <c r="J66" s="4"/>
      <c r="K66" s="4"/>
      <c r="L66" s="4"/>
      <c r="M66" s="4"/>
      <c r="N66" s="4"/>
      <c r="O66" s="4"/>
    </row>
    <row r="67" spans="1:15">
      <c r="A67" s="4"/>
      <c r="B67" s="4"/>
      <c r="C67" s="4"/>
      <c r="D67" s="4"/>
      <c r="E67" s="4"/>
      <c r="F67" s="4"/>
      <c r="G67" s="4"/>
      <c r="H67" s="4"/>
      <c r="I67" s="4"/>
      <c r="J67" s="4"/>
      <c r="K67" s="4"/>
      <c r="L67" s="4"/>
      <c r="M67" s="4"/>
      <c r="N67" s="4"/>
      <c r="O67" s="4"/>
    </row>
    <row r="68" spans="1:15">
      <c r="A68" s="4"/>
      <c r="B68" s="4"/>
      <c r="C68" s="4"/>
      <c r="D68" s="4"/>
      <c r="E68" s="4"/>
      <c r="F68" s="4"/>
      <c r="G68" s="4"/>
      <c r="H68" s="4"/>
      <c r="I68" s="4"/>
      <c r="J68" s="4"/>
      <c r="K68" s="4"/>
      <c r="L68" s="4"/>
      <c r="M68" s="4"/>
      <c r="N68" s="4"/>
      <c r="O68" s="4"/>
    </row>
    <row r="69" spans="1:15">
      <c r="A69" s="4"/>
      <c r="B69" s="4"/>
      <c r="C69" s="4"/>
      <c r="D69" s="4"/>
      <c r="E69" s="4"/>
      <c r="F69" s="4"/>
      <c r="G69" s="4"/>
      <c r="H69" s="4"/>
      <c r="I69" s="4"/>
      <c r="J69" s="4"/>
      <c r="K69" s="4"/>
      <c r="L69" s="4"/>
      <c r="M69" s="4"/>
      <c r="N69" s="4"/>
      <c r="O69" s="4"/>
    </row>
    <row r="70" spans="1:15">
      <c r="A70" s="4"/>
      <c r="B70" s="4"/>
      <c r="C70" s="4"/>
      <c r="D70" s="4"/>
      <c r="E70" s="4"/>
      <c r="F70" s="4"/>
      <c r="G70" s="4"/>
      <c r="H70" s="4"/>
      <c r="I70" s="4"/>
      <c r="J70" s="4"/>
      <c r="K70" s="4"/>
      <c r="L70" s="4"/>
      <c r="M70" s="4"/>
      <c r="N70" s="4"/>
      <c r="O70" s="4"/>
    </row>
    <row r="71" spans="1:15">
      <c r="A71" s="4"/>
      <c r="B71" s="4"/>
      <c r="C71" s="4"/>
      <c r="D71" s="4"/>
      <c r="E71" s="4"/>
      <c r="F71" s="4"/>
      <c r="G71" s="4"/>
      <c r="H71" s="4"/>
      <c r="I71" s="4"/>
      <c r="J71" s="4"/>
      <c r="K71" s="4"/>
      <c r="L71" s="4"/>
      <c r="M71" s="4"/>
      <c r="N71" s="4"/>
      <c r="O71" s="4"/>
    </row>
    <row r="72" spans="1:15">
      <c r="A72" s="4"/>
      <c r="B72" s="4"/>
      <c r="C72" s="4"/>
      <c r="D72" s="4"/>
      <c r="E72" s="4"/>
      <c r="F72" s="4"/>
      <c r="G72" s="4"/>
      <c r="H72" s="4"/>
      <c r="I72" s="4"/>
      <c r="J72" s="4"/>
      <c r="K72" s="4"/>
      <c r="L72" s="4"/>
      <c r="M72" s="4"/>
      <c r="N72" s="4"/>
      <c r="O72" s="4"/>
    </row>
    <row r="73" spans="1:15">
      <c r="A73" s="4"/>
      <c r="B73" s="4"/>
      <c r="C73" s="4"/>
      <c r="D73" s="4"/>
      <c r="E73" s="4"/>
      <c r="F73" s="4"/>
      <c r="G73" s="4"/>
      <c r="H73" s="4"/>
      <c r="I73" s="4"/>
      <c r="J73" s="4"/>
      <c r="K73" s="4"/>
      <c r="L73" s="4"/>
      <c r="M73" s="4"/>
      <c r="N73" s="4"/>
      <c r="O73" s="4"/>
    </row>
    <row r="74" spans="1:15">
      <c r="A74" s="4"/>
      <c r="B74" s="4"/>
      <c r="C74" s="4"/>
      <c r="D74" s="4"/>
      <c r="E74" s="4"/>
      <c r="F74" s="4"/>
      <c r="G74" s="4"/>
      <c r="H74" s="4"/>
      <c r="I74" s="4"/>
      <c r="J74" s="4"/>
      <c r="K74" s="4"/>
      <c r="L74" s="4"/>
      <c r="M74" s="4"/>
      <c r="N74" s="4"/>
      <c r="O74" s="4"/>
    </row>
    <row r="75" spans="1:15">
      <c r="A75" s="4"/>
      <c r="B75" s="4"/>
      <c r="C75" s="4"/>
      <c r="D75" s="4"/>
      <c r="E75" s="4"/>
      <c r="F75" s="4"/>
      <c r="G75" s="4"/>
      <c r="H75" s="4"/>
      <c r="I75" s="4"/>
      <c r="J75" s="4"/>
      <c r="K75" s="4"/>
      <c r="L75" s="4"/>
      <c r="M75" s="4"/>
      <c r="N75" s="4"/>
      <c r="O75" s="4"/>
    </row>
    <row r="76" spans="1:15">
      <c r="A76" s="4"/>
      <c r="B76" s="4"/>
      <c r="C76" s="4"/>
      <c r="D76" s="4"/>
      <c r="E76" s="4"/>
      <c r="F76" s="4"/>
      <c r="G76" s="4"/>
      <c r="H76" s="4"/>
      <c r="I76" s="4"/>
      <c r="J76" s="4"/>
      <c r="K76" s="4"/>
      <c r="L76" s="4"/>
      <c r="M76" s="4"/>
      <c r="N76" s="4"/>
      <c r="O76" s="4"/>
    </row>
    <row r="77" spans="1:15">
      <c r="A77" s="4"/>
      <c r="B77" s="4"/>
      <c r="C77" s="4"/>
      <c r="D77" s="4"/>
      <c r="E77" s="4"/>
      <c r="F77" s="4"/>
      <c r="G77" s="4"/>
      <c r="H77" s="4"/>
      <c r="I77" s="4"/>
      <c r="J77" s="4"/>
      <c r="K77" s="4"/>
      <c r="L77" s="4"/>
      <c r="M77" s="4"/>
      <c r="N77" s="4"/>
      <c r="O77" s="4"/>
    </row>
    <row r="78" spans="1:15">
      <c r="A78" s="4"/>
      <c r="B78" s="4"/>
      <c r="C78" s="4"/>
      <c r="D78" s="4"/>
      <c r="E78" s="4"/>
      <c r="F78" s="4"/>
      <c r="G78" s="4"/>
      <c r="H78" s="4"/>
      <c r="I78" s="4"/>
      <c r="J78" s="4"/>
      <c r="K78" s="4"/>
      <c r="L78" s="4"/>
      <c r="M78" s="4"/>
      <c r="N78" s="4"/>
      <c r="O78" s="4"/>
    </row>
    <row r="79" spans="1:15">
      <c r="A79" s="4"/>
      <c r="B79" s="4"/>
      <c r="C79" s="4"/>
      <c r="D79" s="4"/>
      <c r="E79" s="4"/>
      <c r="F79" s="4"/>
      <c r="G79" s="4"/>
      <c r="H79" s="4"/>
      <c r="I79" s="4"/>
      <c r="J79" s="4"/>
      <c r="K79" s="4"/>
      <c r="L79" s="4"/>
      <c r="M79" s="4"/>
      <c r="N79" s="4"/>
      <c r="O79" s="4"/>
    </row>
    <row r="80" spans="1:15">
      <c r="A80" s="4"/>
      <c r="B80" s="4"/>
      <c r="C80" s="4"/>
      <c r="D80" s="4"/>
      <c r="E80" s="4"/>
      <c r="F80" s="4"/>
      <c r="G80" s="4"/>
      <c r="H80" s="4"/>
      <c r="I80" s="4"/>
      <c r="J80" s="4"/>
      <c r="K80" s="4"/>
      <c r="L80" s="4"/>
      <c r="M80" s="4"/>
      <c r="N80" s="4"/>
      <c r="O80" s="4"/>
    </row>
    <row r="81" spans="1:15">
      <c r="A81" s="4"/>
      <c r="B81" s="4"/>
      <c r="C81" s="4"/>
      <c r="D81" s="4"/>
      <c r="E81" s="4"/>
      <c r="F81" s="4"/>
      <c r="G81" s="4"/>
      <c r="H81" s="4"/>
      <c r="I81" s="4"/>
      <c r="J81" s="4"/>
      <c r="K81" s="4"/>
      <c r="L81" s="4"/>
      <c r="M81" s="4"/>
      <c r="N81" s="4"/>
      <c r="O81" s="4"/>
    </row>
    <row r="82" spans="1:15">
      <c r="A82" s="4"/>
      <c r="B82" s="4"/>
      <c r="C82" s="4"/>
      <c r="D82" s="4"/>
      <c r="E82" s="4"/>
      <c r="F82" s="4"/>
      <c r="G82" s="4"/>
      <c r="H82" s="4"/>
      <c r="I82" s="4"/>
      <c r="J82" s="4"/>
      <c r="K82" s="4"/>
      <c r="L82" s="4"/>
      <c r="M82" s="4"/>
      <c r="N82" s="4"/>
      <c r="O82" s="4"/>
    </row>
    <row r="83" spans="1:15">
      <c r="A83" s="4"/>
      <c r="B83" s="4"/>
      <c r="C83" s="4"/>
      <c r="D83" s="4"/>
      <c r="E83" s="4"/>
      <c r="F83" s="4"/>
      <c r="G83" s="4"/>
      <c r="H83" s="4"/>
      <c r="I83" s="4"/>
      <c r="J83" s="4"/>
      <c r="K83" s="4"/>
      <c r="L83" s="4"/>
      <c r="M83" s="4"/>
      <c r="N83" s="4"/>
      <c r="O83" s="4"/>
    </row>
    <row r="84" spans="1:15">
      <c r="A84" s="4"/>
      <c r="B84" s="4"/>
      <c r="C84" s="4"/>
      <c r="D84" s="4"/>
      <c r="E84" s="4"/>
      <c r="F84" s="4"/>
      <c r="G84" s="4"/>
      <c r="H84" s="4"/>
      <c r="I84" s="4"/>
      <c r="J84" s="4"/>
      <c r="K84" s="4"/>
      <c r="L84" s="4"/>
      <c r="M84" s="4"/>
      <c r="N84" s="4"/>
      <c r="O84" s="4"/>
    </row>
    <row r="85" spans="1:15">
      <c r="A85" s="4"/>
      <c r="B85" s="4"/>
      <c r="C85" s="4"/>
      <c r="D85" s="4"/>
      <c r="E85" s="4"/>
      <c r="F85" s="4"/>
      <c r="G85" s="4"/>
      <c r="H85" s="4"/>
      <c r="I85" s="4"/>
      <c r="J85" s="4"/>
      <c r="K85" s="4"/>
      <c r="L85" s="4"/>
      <c r="M85" s="4"/>
      <c r="N85" s="4"/>
      <c r="O85" s="4"/>
    </row>
    <row r="86" spans="1:15">
      <c r="A86" s="4"/>
      <c r="B86" s="4"/>
      <c r="C86" s="4"/>
      <c r="D86" s="4"/>
      <c r="E86" s="4"/>
      <c r="F86" s="4"/>
      <c r="G86" s="4"/>
      <c r="H86" s="4"/>
      <c r="I86" s="4"/>
      <c r="J86" s="4"/>
      <c r="K86" s="4"/>
      <c r="L86" s="4"/>
      <c r="M86" s="4"/>
      <c r="N86" s="4"/>
      <c r="O86" s="4"/>
    </row>
    <row r="87" spans="1:15">
      <c r="A87" s="4"/>
      <c r="B87" s="4"/>
      <c r="C87" s="4"/>
      <c r="D87" s="4"/>
      <c r="E87" s="4"/>
      <c r="F87" s="4"/>
      <c r="G87" s="4"/>
      <c r="H87" s="4"/>
      <c r="I87" s="4"/>
      <c r="J87" s="4"/>
      <c r="K87" s="4"/>
      <c r="L87" s="4"/>
      <c r="M87" s="4"/>
      <c r="N87" s="4"/>
      <c r="O87" s="4"/>
    </row>
    <row r="88" spans="1:15">
      <c r="A88" s="4"/>
      <c r="B88" s="4"/>
      <c r="C88" s="4"/>
      <c r="D88" s="4"/>
      <c r="E88" s="4"/>
      <c r="F88" s="4"/>
      <c r="G88" s="4"/>
      <c r="H88" s="4"/>
      <c r="I88" s="4"/>
      <c r="J88" s="4"/>
      <c r="K88" s="4"/>
      <c r="L88" s="4"/>
      <c r="M88" s="4"/>
      <c r="N88" s="4"/>
      <c r="O88" s="4"/>
    </row>
    <row r="89" spans="1:15">
      <c r="A89" s="4"/>
      <c r="B89" s="4"/>
      <c r="C89" s="4"/>
      <c r="D89" s="4"/>
      <c r="E89" s="4"/>
      <c r="F89" s="4"/>
      <c r="G89" s="4"/>
      <c r="H89" s="4"/>
      <c r="I89" s="4"/>
      <c r="J89" s="4"/>
      <c r="K89" s="4"/>
      <c r="L89" s="4"/>
      <c r="M89" s="4"/>
      <c r="N89" s="4"/>
      <c r="O89" s="4"/>
    </row>
    <row r="90" spans="1:15">
      <c r="A90" s="4"/>
      <c r="B90" s="4"/>
      <c r="C90" s="4"/>
      <c r="D90" s="4"/>
      <c r="E90" s="4"/>
      <c r="F90" s="4"/>
      <c r="G90" s="4"/>
      <c r="H90" s="4"/>
      <c r="I90" s="4"/>
      <c r="J90" s="4"/>
      <c r="K90" s="4"/>
      <c r="L90" s="4"/>
      <c r="M90" s="4"/>
      <c r="N90" s="4"/>
      <c r="O90" s="4"/>
    </row>
    <row r="91" spans="1:15">
      <c r="A91" s="4"/>
      <c r="B91" s="4"/>
      <c r="C91" s="4"/>
      <c r="D91" s="4"/>
      <c r="E91" s="4"/>
      <c r="F91" s="4"/>
      <c r="G91" s="4"/>
      <c r="H91" s="4"/>
      <c r="I91" s="4"/>
      <c r="J91" s="4"/>
      <c r="K91" s="4"/>
      <c r="L91" s="4"/>
      <c r="M91" s="4"/>
      <c r="N91" s="4"/>
      <c r="O91" s="4"/>
    </row>
    <row r="92" spans="1:15">
      <c r="A92" s="4"/>
      <c r="B92" s="4"/>
      <c r="C92" s="4"/>
      <c r="D92" s="4"/>
      <c r="E92" s="4"/>
      <c r="F92" s="4"/>
      <c r="G92" s="4"/>
      <c r="H92" s="4"/>
      <c r="I92" s="4"/>
      <c r="J92" s="4"/>
      <c r="K92" s="4"/>
      <c r="L92" s="4"/>
      <c r="M92" s="4"/>
      <c r="N92" s="4"/>
      <c r="O92" s="4"/>
    </row>
    <row r="93" spans="1:15">
      <c r="A93" s="4"/>
      <c r="B93" s="4"/>
      <c r="C93" s="4"/>
      <c r="D93" s="4"/>
      <c r="E93" s="4"/>
      <c r="F93" s="4"/>
      <c r="G93" s="4"/>
      <c r="H93" s="4"/>
      <c r="I93" s="4"/>
      <c r="J93" s="4"/>
      <c r="K93" s="4"/>
      <c r="L93" s="4"/>
      <c r="M93" s="4"/>
      <c r="N93" s="4"/>
      <c r="O93" s="4"/>
    </row>
    <row r="94" spans="1:15">
      <c r="A94" s="4"/>
      <c r="B94" s="4"/>
      <c r="C94" s="4"/>
      <c r="D94" s="4"/>
      <c r="E94" s="4"/>
      <c r="F94" s="4"/>
      <c r="G94" s="4"/>
      <c r="H94" s="4"/>
      <c r="I94" s="4"/>
      <c r="J94" s="4"/>
      <c r="K94" s="4"/>
      <c r="L94" s="4"/>
      <c r="M94" s="4"/>
      <c r="N94" s="4"/>
      <c r="O94" s="4"/>
    </row>
    <row r="95" spans="1:15">
      <c r="A95" s="4"/>
      <c r="B95" s="4"/>
      <c r="C95" s="4"/>
      <c r="D95" s="4"/>
      <c r="E95" s="4"/>
      <c r="F95" s="4"/>
      <c r="G95" s="4"/>
      <c r="H95" s="4"/>
      <c r="I95" s="4"/>
      <c r="J95" s="4"/>
      <c r="K95" s="4"/>
      <c r="L95" s="4"/>
      <c r="M95" s="4"/>
      <c r="N95" s="4"/>
      <c r="O95" s="4"/>
    </row>
    <row r="96" spans="1:15">
      <c r="A96" s="4"/>
      <c r="B96" s="4"/>
      <c r="C96" s="4"/>
      <c r="D96" s="4"/>
      <c r="E96" s="4"/>
      <c r="F96" s="4"/>
      <c r="G96" s="4"/>
      <c r="H96" s="4"/>
      <c r="I96" s="4"/>
      <c r="J96" s="4"/>
      <c r="K96" s="4"/>
      <c r="L96" s="4"/>
      <c r="M96" s="4"/>
      <c r="N96" s="4"/>
      <c r="O96" s="4"/>
    </row>
    <row r="97" spans="1:15">
      <c r="A97" s="4"/>
      <c r="B97" s="4"/>
      <c r="C97" s="4"/>
      <c r="D97" s="4"/>
      <c r="E97" s="4"/>
      <c r="F97" s="4"/>
      <c r="G97" s="4"/>
      <c r="H97" s="4"/>
      <c r="I97" s="4"/>
      <c r="J97" s="4"/>
      <c r="K97" s="4"/>
      <c r="L97" s="4"/>
      <c r="M97" s="4"/>
      <c r="N97" s="4"/>
      <c r="O97" s="4"/>
    </row>
    <row r="98" spans="1:15">
      <c r="A98" s="4"/>
      <c r="B98" s="4"/>
      <c r="C98" s="4"/>
      <c r="D98" s="4"/>
      <c r="E98" s="4"/>
      <c r="F98" s="4"/>
      <c r="G98" s="4"/>
      <c r="H98" s="4"/>
      <c r="I98" s="4"/>
      <c r="J98" s="4"/>
      <c r="K98" s="4"/>
      <c r="L98" s="4"/>
      <c r="M98" s="4"/>
      <c r="N98" s="4"/>
      <c r="O98" s="4"/>
    </row>
    <row r="99" spans="1:15">
      <c r="A99" s="4"/>
      <c r="B99" s="4"/>
      <c r="C99" s="4"/>
      <c r="D99" s="4"/>
      <c r="E99" s="4"/>
      <c r="F99" s="4"/>
      <c r="G99" s="4"/>
      <c r="H99" s="4"/>
      <c r="I99" s="4"/>
      <c r="J99" s="4"/>
      <c r="K99" s="4"/>
      <c r="L99" s="4"/>
      <c r="M99" s="4"/>
      <c r="N99" s="4"/>
      <c r="O99" s="4"/>
    </row>
    <row r="100" spans="1:15">
      <c r="A100" s="4"/>
      <c r="B100" s="4"/>
      <c r="C100" s="4"/>
      <c r="D100" s="4"/>
      <c r="E100" s="4"/>
      <c r="F100" s="4"/>
      <c r="G100" s="4"/>
      <c r="H100" s="4"/>
      <c r="I100" s="4"/>
      <c r="J100" s="4"/>
      <c r="K100" s="4"/>
      <c r="L100" s="4"/>
      <c r="M100" s="4"/>
      <c r="N100" s="4"/>
      <c r="O100" s="4"/>
    </row>
    <row r="101" spans="1:15">
      <c r="A101" s="4"/>
      <c r="B101" s="4"/>
      <c r="C101" s="4"/>
      <c r="D101" s="4"/>
      <c r="E101" s="4"/>
      <c r="F101" s="4"/>
      <c r="G101" s="4"/>
      <c r="H101" s="4"/>
      <c r="I101" s="4"/>
      <c r="J101" s="4"/>
      <c r="K101" s="4"/>
      <c r="L101" s="4"/>
      <c r="M101" s="4"/>
      <c r="N101" s="4"/>
      <c r="O101" s="4"/>
    </row>
    <row r="102" spans="1:15">
      <c r="A102" s="4"/>
      <c r="B102" s="4"/>
      <c r="C102" s="4"/>
      <c r="D102" s="4"/>
      <c r="E102" s="4"/>
      <c r="F102" s="4"/>
      <c r="G102" s="4"/>
      <c r="H102" s="4"/>
      <c r="I102" s="4"/>
      <c r="J102" s="4"/>
      <c r="K102" s="4"/>
      <c r="L102" s="4"/>
      <c r="M102" s="4"/>
      <c r="N102" s="4"/>
      <c r="O102" s="4"/>
    </row>
    <row r="103" spans="1:15">
      <c r="A103" s="4"/>
      <c r="B103" s="4"/>
      <c r="C103" s="4"/>
      <c r="D103" s="4"/>
      <c r="E103" s="4"/>
      <c r="F103" s="4"/>
      <c r="G103" s="4"/>
      <c r="H103" s="4"/>
      <c r="I103" s="4"/>
      <c r="J103" s="4"/>
      <c r="K103" s="4"/>
      <c r="L103" s="4"/>
      <c r="M103" s="4"/>
      <c r="N103" s="4"/>
      <c r="O103" s="4"/>
    </row>
    <row r="104" spans="1:15">
      <c r="A104" s="4"/>
      <c r="B104" s="4"/>
      <c r="C104" s="4"/>
      <c r="D104" s="4"/>
      <c r="E104" s="4"/>
      <c r="F104" s="4"/>
      <c r="G104" s="4"/>
      <c r="H104" s="4"/>
      <c r="I104" s="4"/>
      <c r="J104" s="4"/>
      <c r="K104" s="4"/>
      <c r="L104" s="4"/>
      <c r="M104" s="4"/>
      <c r="N104" s="4"/>
      <c r="O104" s="4"/>
    </row>
    <row r="105" spans="1:15">
      <c r="A105" s="4"/>
      <c r="B105" s="4"/>
      <c r="C105" s="4"/>
      <c r="D105" s="4"/>
      <c r="E105" s="4"/>
      <c r="F105" s="4"/>
      <c r="G105" s="4"/>
      <c r="H105" s="4"/>
      <c r="I105" s="4"/>
      <c r="J105" s="4"/>
      <c r="K105" s="4"/>
      <c r="L105" s="4"/>
      <c r="M105" s="4"/>
      <c r="N105" s="4"/>
      <c r="O105" s="4"/>
    </row>
    <row r="106" spans="1:15">
      <c r="A106" s="4"/>
      <c r="B106" s="4"/>
      <c r="C106" s="4"/>
      <c r="D106" s="4"/>
      <c r="E106" s="4"/>
      <c r="F106" s="4"/>
      <c r="G106" s="4"/>
      <c r="H106" s="4"/>
      <c r="I106" s="4"/>
      <c r="J106" s="4"/>
      <c r="K106" s="4"/>
      <c r="L106" s="4"/>
      <c r="M106" s="4"/>
      <c r="N106" s="4"/>
      <c r="O106" s="4"/>
    </row>
    <row r="107" spans="1:15">
      <c r="A107" s="4"/>
      <c r="B107" s="4"/>
      <c r="C107" s="4"/>
      <c r="D107" s="4"/>
      <c r="E107" s="4"/>
      <c r="F107" s="4"/>
      <c r="G107" s="4"/>
      <c r="H107" s="4"/>
      <c r="I107" s="4"/>
      <c r="J107" s="4"/>
      <c r="K107" s="4"/>
      <c r="L107" s="4"/>
      <c r="M107" s="4"/>
      <c r="N107" s="4"/>
      <c r="O107" s="4"/>
    </row>
    <row r="108" spans="1:15">
      <c r="A108" s="4"/>
      <c r="B108" s="4"/>
      <c r="C108" s="4"/>
      <c r="D108" s="4"/>
      <c r="E108" s="4"/>
      <c r="F108" s="4"/>
      <c r="G108" s="4"/>
      <c r="H108" s="4"/>
      <c r="I108" s="4"/>
      <c r="J108" s="4"/>
      <c r="K108" s="4"/>
      <c r="L108" s="4"/>
      <c r="M108" s="4"/>
      <c r="N108" s="4"/>
      <c r="O108" s="4"/>
    </row>
    <row r="109" spans="1:15">
      <c r="A109" s="4"/>
      <c r="B109" s="4"/>
      <c r="C109" s="4"/>
      <c r="D109" s="4"/>
      <c r="E109" s="4"/>
      <c r="F109" s="4"/>
      <c r="G109" s="4"/>
      <c r="H109" s="4"/>
      <c r="I109" s="4"/>
      <c r="J109" s="4"/>
      <c r="K109" s="4"/>
      <c r="L109" s="4"/>
      <c r="M109" s="4"/>
      <c r="N109" s="4"/>
      <c r="O109" s="4"/>
    </row>
    <row r="110" spans="1:15">
      <c r="A110" s="4"/>
      <c r="B110" s="4"/>
      <c r="C110" s="4"/>
      <c r="D110" s="4"/>
      <c r="E110" s="4"/>
      <c r="F110" s="4"/>
      <c r="G110" s="4"/>
      <c r="H110" s="4"/>
      <c r="I110" s="4"/>
      <c r="J110" s="4"/>
      <c r="K110" s="4"/>
      <c r="L110" s="4"/>
      <c r="M110" s="4"/>
      <c r="N110" s="4"/>
      <c r="O110" s="4"/>
    </row>
    <row r="111" spans="1:15">
      <c r="A111" s="4"/>
      <c r="B111" s="4"/>
      <c r="C111" s="4"/>
      <c r="D111" s="4"/>
      <c r="E111" s="4"/>
      <c r="F111" s="4"/>
      <c r="G111" s="4"/>
      <c r="H111" s="4"/>
      <c r="I111" s="4"/>
      <c r="J111" s="4"/>
      <c r="K111" s="4"/>
      <c r="L111" s="4"/>
      <c r="M111" s="4"/>
      <c r="N111" s="4"/>
      <c r="O111" s="4"/>
    </row>
    <row r="112" spans="1:15">
      <c r="A112" s="4"/>
      <c r="B112" s="4"/>
      <c r="C112" s="4"/>
      <c r="D112" s="4"/>
      <c r="E112" s="4"/>
      <c r="F112" s="4"/>
      <c r="G112" s="4"/>
      <c r="H112" s="4"/>
      <c r="I112" s="4"/>
      <c r="J112" s="4"/>
      <c r="K112" s="4"/>
      <c r="L112" s="4"/>
      <c r="M112" s="4"/>
      <c r="N112" s="4"/>
      <c r="O112" s="4"/>
    </row>
    <row r="113" spans="1:15">
      <c r="A113" s="4"/>
      <c r="B113" s="4"/>
      <c r="C113" s="4"/>
      <c r="D113" s="4"/>
      <c r="E113" s="4"/>
      <c r="F113" s="4"/>
      <c r="G113" s="4"/>
      <c r="H113" s="4"/>
      <c r="I113" s="4"/>
      <c r="J113" s="4"/>
      <c r="K113" s="4"/>
      <c r="L113" s="4"/>
      <c r="M113" s="4"/>
      <c r="N113" s="4"/>
      <c r="O113" s="4"/>
    </row>
    <row r="114" spans="1:15">
      <c r="B114" s="4"/>
    </row>
  </sheetData>
  <pageMargins left="0.70866141732283472" right="0.70866141732283472" top="0.78740157480314965" bottom="0.78740157480314965" header="0.31496062992125984" footer="0.31496062992125984"/>
  <pageSetup paperSize="9" scale="77" fitToHeight="2" orientation="portrait" r:id="rId1"/>
  <rowBreaks count="1" manualBreakCount="1">
    <brk id="15" max="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O23"/>
  <sheetViews>
    <sheetView tabSelected="1" zoomScale="75" zoomScaleNormal="75" workbookViewId="0">
      <selection activeCell="K9" sqref="K9"/>
    </sheetView>
  </sheetViews>
  <sheetFormatPr baseColWidth="10" defaultRowHeight="12.75"/>
  <cols>
    <col min="1" max="1" width="4.7109375" style="4" customWidth="1"/>
    <col min="2" max="2" width="10.85546875" customWidth="1"/>
    <col min="3" max="3" width="15" customWidth="1"/>
    <col min="4" max="7" width="15" hidden="1" customWidth="1"/>
    <col min="8" max="8" width="15" customWidth="1"/>
    <col min="9" max="11" width="12.28515625" customWidth="1"/>
    <col min="12" max="12" width="16" customWidth="1"/>
    <col min="13" max="13" width="16.28515625" customWidth="1"/>
    <col min="14" max="14" width="26.42578125" customWidth="1"/>
    <col min="15" max="15" width="12.7109375" customWidth="1"/>
    <col min="16" max="16" width="13.7109375" customWidth="1"/>
    <col min="17" max="17" width="26.42578125" customWidth="1"/>
    <col min="18" max="21" width="13.7109375" customWidth="1"/>
    <col min="22" max="26" width="13.7109375" hidden="1" customWidth="1"/>
    <col min="27" max="27" width="13.5703125" customWidth="1"/>
    <col min="28" max="38" width="13.7109375" customWidth="1"/>
    <col min="39" max="39" width="2" customWidth="1"/>
    <col min="40" max="40" width="13.42578125" bestFit="1" customWidth="1"/>
    <col min="41" max="41" width="10.28515625" hidden="1" customWidth="1"/>
    <col min="42" max="43" width="14.85546875" hidden="1" customWidth="1"/>
    <col min="44" max="44" width="13.5703125" customWidth="1"/>
    <col min="45" max="45" width="1.7109375" style="4" customWidth="1"/>
    <col min="46" max="47" width="13.5703125" customWidth="1"/>
    <col min="48" max="48" width="13.42578125" customWidth="1"/>
    <col min="49" max="49" width="13.5703125" customWidth="1"/>
    <col min="50" max="50" width="13.42578125" customWidth="1"/>
    <col min="51" max="51" width="8.85546875" hidden="1" customWidth="1"/>
    <col min="52" max="55" width="10" hidden="1" customWidth="1"/>
    <col min="56" max="56" width="1.28515625" style="4" customWidth="1"/>
    <col min="57" max="58" width="13.5703125" customWidth="1"/>
    <col min="59" max="59" width="13.5703125" hidden="1" customWidth="1"/>
    <col min="60" max="62" width="13.5703125" customWidth="1"/>
    <col min="63" max="64" width="13.5703125" hidden="1" customWidth="1"/>
    <col min="65" max="67" width="13.5703125" customWidth="1"/>
    <col min="68" max="68" width="16.7109375" customWidth="1"/>
    <col min="69" max="69" width="17.140625" customWidth="1"/>
    <col min="70" max="70" width="1.42578125" style="4" customWidth="1"/>
    <col min="71" max="72" width="23.42578125" customWidth="1"/>
    <col min="73" max="73" width="17.140625" customWidth="1"/>
    <col min="74" max="74" width="17.5703125" customWidth="1"/>
    <col min="75" max="75" width="14" customWidth="1"/>
    <col min="76" max="76" width="8.5703125" hidden="1" customWidth="1"/>
    <col min="77" max="78" width="13.5703125" hidden="1" customWidth="1"/>
    <col min="79" max="80" width="13.7109375" customWidth="1"/>
    <col min="81" max="81" width="16.7109375" customWidth="1"/>
    <col min="82" max="82" width="13.7109375" customWidth="1"/>
    <col min="83" max="83" width="13.7109375" hidden="1" customWidth="1"/>
    <col min="84" max="87" width="13.7109375" customWidth="1"/>
    <col min="88" max="89" width="13.7109375" hidden="1" customWidth="1"/>
    <col min="90" max="91" width="13.7109375" customWidth="1"/>
    <col min="92" max="92" width="16.7109375" customWidth="1"/>
    <col min="93" max="94" width="13.7109375" customWidth="1"/>
    <col min="95" max="95" width="13.7109375" hidden="1" customWidth="1"/>
    <col min="96" max="102" width="13.7109375" customWidth="1"/>
    <col min="103" max="104" width="13.7109375" hidden="1" customWidth="1"/>
    <col min="105" max="106" width="13.7109375" customWidth="1"/>
    <col min="107" max="107" width="16.7109375" customWidth="1"/>
    <col min="108" max="109" width="13.7109375" customWidth="1"/>
    <col min="110" max="110" width="13.7109375" hidden="1" customWidth="1"/>
    <col min="111" max="117" width="13.7109375" customWidth="1"/>
    <col min="118" max="119" width="13.7109375" hidden="1" customWidth="1"/>
    <col min="120" max="121" width="13.7109375" customWidth="1"/>
    <col min="122" max="122" width="1.85546875" style="4" customWidth="1"/>
    <col min="123" max="123" width="13.7109375" customWidth="1"/>
    <col min="124" max="125" width="13.7109375" hidden="1" customWidth="1"/>
    <col min="126" max="131" width="13.7109375" customWidth="1"/>
    <col min="132" max="132" width="13.7109375" hidden="1" customWidth="1"/>
    <col min="133" max="133" width="13.7109375" customWidth="1"/>
    <col min="134" max="134" width="16.7109375" customWidth="1"/>
    <col min="135" max="138" width="13.7109375" customWidth="1"/>
    <col min="139" max="139" width="17.42578125" customWidth="1"/>
    <col min="140" max="140" width="13.7109375" customWidth="1"/>
    <col min="141" max="142" width="16.140625" customWidth="1"/>
    <col min="143" max="143" width="13.7109375" customWidth="1"/>
    <col min="144" max="144" width="13.5703125" customWidth="1"/>
    <col min="145" max="147" width="13.5703125" hidden="1" customWidth="1"/>
    <col min="148" max="149" width="13.5703125" customWidth="1"/>
    <col min="150" max="150" width="16.5703125" customWidth="1"/>
    <col min="151" max="154" width="10.7109375" customWidth="1"/>
    <col min="155" max="155" width="13.5703125" customWidth="1"/>
    <col min="156" max="156" width="16.85546875" customWidth="1"/>
    <col min="157" max="157" width="10.7109375" customWidth="1"/>
    <col min="158" max="158" width="19.85546875" customWidth="1"/>
    <col min="159" max="159" width="4" style="4" bestFit="1" customWidth="1"/>
    <col min="160" max="160" width="15.42578125" customWidth="1"/>
    <col min="161" max="167" width="13.7109375" customWidth="1"/>
    <col min="168" max="169" width="13.7109375" hidden="1" customWidth="1"/>
    <col min="170" max="171" width="13.7109375" customWidth="1"/>
    <col min="172" max="172" width="13.7109375" hidden="1" customWidth="1"/>
    <col min="173" max="178" width="13.7109375" customWidth="1"/>
    <col min="179" max="180" width="13.7109375" hidden="1" customWidth="1"/>
    <col min="181" max="182" width="13.7109375" customWidth="1"/>
    <col min="183" max="183" width="13.7109375" hidden="1" customWidth="1"/>
    <col min="184" max="185" width="13.7109375" customWidth="1"/>
    <col min="186" max="186" width="22.140625" customWidth="1"/>
    <col min="187" max="187" width="6.28515625" style="4" customWidth="1"/>
    <col min="188" max="190" width="22.140625" customWidth="1"/>
    <col min="191" max="191" width="16.42578125" customWidth="1"/>
    <col min="192" max="192" width="13.28515625" customWidth="1"/>
    <col min="193" max="193" width="13.42578125" customWidth="1"/>
    <col min="194" max="194" width="13.140625" customWidth="1"/>
    <col min="195" max="195" width="13.42578125" customWidth="1"/>
    <col min="196" max="196" width="13.7109375" customWidth="1"/>
    <col min="197" max="198" width="20.5703125" customWidth="1"/>
    <col min="199" max="200" width="15.42578125" customWidth="1"/>
    <col min="201" max="201" width="18.5703125" customWidth="1"/>
    <col min="202" max="203" width="11.42578125" customWidth="1"/>
    <col min="204" max="204" width="11.28515625" customWidth="1"/>
    <col min="205" max="206" width="11.42578125" customWidth="1"/>
    <col min="207" max="207" width="11.28515625" customWidth="1"/>
    <col min="208" max="208" width="14.85546875" customWidth="1"/>
    <col min="209" max="209" width="11.42578125" customWidth="1"/>
    <col min="210" max="210" width="2.42578125" customWidth="1"/>
    <col min="211" max="211" width="18.5703125" customWidth="1"/>
    <col min="212" max="217" width="11.42578125" customWidth="1"/>
    <col min="218" max="218" width="14.85546875" customWidth="1"/>
    <col min="219" max="219" width="11.42578125" customWidth="1"/>
    <col min="220" max="221" width="19.85546875" customWidth="1"/>
    <col min="222" max="223" width="11.42578125" style="4"/>
  </cols>
  <sheetData>
    <row r="1" spans="1:223" s="4" customFormat="1" ht="15" customHeight="1">
      <c r="B1" s="367" t="s">
        <v>372</v>
      </c>
      <c r="C1" s="367"/>
      <c r="D1" s="367"/>
      <c r="E1" s="367"/>
      <c r="F1" s="367"/>
      <c r="G1" s="367"/>
      <c r="H1" s="367"/>
      <c r="I1" s="367"/>
      <c r="J1" s="367"/>
      <c r="K1" s="367"/>
      <c r="L1" s="367"/>
      <c r="M1" s="367"/>
      <c r="N1" s="367"/>
      <c r="O1" s="367"/>
      <c r="P1" s="367"/>
      <c r="Q1" s="367"/>
      <c r="R1" s="279"/>
      <c r="S1" s="279"/>
      <c r="T1" s="279"/>
      <c r="U1" s="279"/>
      <c r="V1" s="279"/>
      <c r="W1" s="279"/>
      <c r="X1" s="279"/>
      <c r="Y1" s="279"/>
      <c r="Z1" s="279"/>
      <c r="AA1" s="279"/>
      <c r="AB1" s="279"/>
      <c r="AC1" s="279"/>
      <c r="AD1" s="279"/>
      <c r="AE1" s="279"/>
    </row>
    <row r="2" spans="1:223" s="4" customFormat="1" ht="19.5" customHeight="1" thickBot="1">
      <c r="A2" s="213"/>
      <c r="B2" s="213" t="s">
        <v>251</v>
      </c>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I2" s="213"/>
      <c r="AJ2" s="213"/>
      <c r="AK2" s="213"/>
      <c r="AL2" s="213"/>
      <c r="AM2" s="213"/>
      <c r="AN2" s="213"/>
      <c r="AO2" s="213"/>
      <c r="AP2" s="213"/>
      <c r="AQ2" s="213"/>
      <c r="AR2" s="213"/>
      <c r="AS2" s="213"/>
      <c r="AT2" s="213"/>
      <c r="AU2" s="213"/>
      <c r="AV2" s="213"/>
      <c r="AW2" s="213"/>
      <c r="AX2" s="213"/>
      <c r="AY2" s="213"/>
      <c r="AZ2" s="213"/>
      <c r="BA2" s="213"/>
      <c r="BB2" s="213"/>
      <c r="BC2" s="213"/>
      <c r="BD2" s="213"/>
      <c r="BE2" s="213"/>
      <c r="BF2" s="213"/>
      <c r="BG2" s="213"/>
      <c r="BH2" s="213"/>
      <c r="BI2" s="213"/>
      <c r="BJ2" s="213"/>
      <c r="BK2" s="213"/>
      <c r="BL2" s="213"/>
      <c r="BM2" s="213"/>
      <c r="BN2" s="213"/>
      <c r="BO2" s="213"/>
      <c r="BP2" s="213"/>
      <c r="BQ2" s="213"/>
      <c r="BR2" s="213"/>
      <c r="BS2" s="213"/>
      <c r="BT2" s="213"/>
      <c r="BU2" s="213"/>
      <c r="BV2" s="213"/>
      <c r="BW2" s="213"/>
      <c r="BX2" s="213"/>
      <c r="BY2" s="213"/>
      <c r="BZ2" s="213"/>
      <c r="CA2" s="213"/>
      <c r="CB2" s="213"/>
      <c r="CC2" s="213"/>
      <c r="CD2" s="213"/>
      <c r="CE2" s="213"/>
      <c r="CF2" s="213"/>
      <c r="CG2" s="213"/>
      <c r="CH2" s="213"/>
      <c r="CI2" s="213"/>
      <c r="CJ2" s="213"/>
      <c r="CK2" s="213"/>
      <c r="CL2" s="213"/>
      <c r="CM2" s="213"/>
      <c r="CN2" s="213"/>
      <c r="CO2" s="213"/>
      <c r="CP2" s="213"/>
      <c r="CQ2" s="213"/>
      <c r="CR2" s="213"/>
      <c r="CS2" s="213"/>
      <c r="CT2" s="213"/>
      <c r="CU2" s="213"/>
      <c r="CV2" s="213"/>
      <c r="CW2" s="213"/>
      <c r="CX2" s="213"/>
      <c r="CY2" s="213"/>
      <c r="CZ2" s="213"/>
      <c r="DA2" s="213"/>
      <c r="DB2" s="213"/>
      <c r="DC2" s="213"/>
      <c r="DD2" s="213"/>
      <c r="DE2" s="213"/>
      <c r="DF2" s="213"/>
      <c r="DG2" s="213"/>
      <c r="DH2" s="213"/>
      <c r="DI2" s="213"/>
      <c r="DJ2" s="213"/>
      <c r="DK2" s="213"/>
      <c r="DL2" s="213"/>
      <c r="DM2" s="213"/>
      <c r="DN2" s="213"/>
      <c r="DO2" s="213"/>
      <c r="DP2" s="213"/>
      <c r="DQ2" s="213"/>
      <c r="DR2" s="213"/>
      <c r="DS2" s="213"/>
      <c r="DT2" s="213"/>
      <c r="DU2" s="213"/>
      <c r="DV2" s="213"/>
      <c r="DW2" s="213"/>
      <c r="DX2" s="213"/>
      <c r="DY2" s="213"/>
      <c r="DZ2" s="213"/>
      <c r="EA2" s="213"/>
      <c r="EB2" s="213"/>
      <c r="EC2" s="213"/>
      <c r="ED2" s="213"/>
      <c r="EE2" s="213"/>
      <c r="EF2" s="213"/>
      <c r="EG2" s="213"/>
      <c r="EH2" s="213"/>
      <c r="EI2" s="213"/>
      <c r="EJ2" s="213"/>
      <c r="EK2" s="213"/>
      <c r="EL2" s="213"/>
      <c r="EM2" s="213"/>
      <c r="EN2" s="213"/>
      <c r="EO2" s="213"/>
      <c r="EP2" s="213"/>
      <c r="EQ2" s="213"/>
      <c r="ER2" s="213"/>
      <c r="ES2" s="213"/>
      <c r="ET2" s="213"/>
      <c r="EU2" s="213"/>
      <c r="EV2" s="213"/>
      <c r="EW2" s="213"/>
      <c r="EX2" s="213"/>
      <c r="EY2" s="213"/>
      <c r="EZ2" s="213"/>
      <c r="FA2" s="213"/>
      <c r="FB2" s="213"/>
      <c r="FC2" s="213"/>
      <c r="FD2" s="213"/>
      <c r="FE2" s="213"/>
      <c r="FF2" s="213"/>
      <c r="FG2" s="213"/>
      <c r="FH2" s="213"/>
      <c r="FI2" s="213"/>
      <c r="FJ2" s="213"/>
      <c r="FK2" s="213"/>
      <c r="FL2" s="213"/>
      <c r="FM2" s="213"/>
      <c r="FN2" s="213"/>
      <c r="FO2" s="213"/>
      <c r="FP2" s="213"/>
      <c r="FQ2" s="213"/>
      <c r="FR2" s="213"/>
      <c r="FS2" s="213"/>
      <c r="FT2" s="213"/>
      <c r="FU2" s="213"/>
      <c r="FV2" s="213"/>
      <c r="FW2" s="213"/>
      <c r="FX2" s="213"/>
      <c r="FY2" s="213"/>
      <c r="FZ2" s="213"/>
      <c r="GA2" s="213"/>
      <c r="GB2" s="213"/>
      <c r="GC2" s="213"/>
      <c r="GD2" s="273"/>
      <c r="GE2" s="274"/>
      <c r="GF2" s="318" t="s">
        <v>367</v>
      </c>
      <c r="GG2" s="319"/>
      <c r="GH2" s="319"/>
      <c r="GI2" s="319"/>
      <c r="GJ2" s="319"/>
      <c r="GK2" s="319"/>
      <c r="GL2" s="319"/>
      <c r="GM2" s="319"/>
      <c r="GN2" s="319"/>
      <c r="GO2" s="319"/>
      <c r="GP2" s="319"/>
      <c r="GQ2" s="319"/>
      <c r="GR2" s="319"/>
      <c r="GS2" s="319"/>
      <c r="GT2" s="319"/>
      <c r="GU2" s="319"/>
      <c r="GV2" s="319"/>
      <c r="GW2" s="319"/>
      <c r="GX2" s="319"/>
      <c r="GY2" s="319"/>
      <c r="GZ2" s="319"/>
      <c r="HA2" s="319"/>
      <c r="HB2" s="319"/>
      <c r="HC2" s="319"/>
      <c r="HD2" s="319"/>
      <c r="HE2" s="319"/>
      <c r="HF2" s="319"/>
      <c r="HG2" s="319"/>
      <c r="HH2" s="319"/>
      <c r="HI2" s="319"/>
      <c r="HJ2" s="319"/>
      <c r="HK2" s="319"/>
      <c r="HL2" s="319"/>
      <c r="HM2" s="320"/>
    </row>
    <row r="3" spans="1:223" s="62" customFormat="1" ht="75" customHeight="1" thickBot="1">
      <c r="A3" s="60"/>
      <c r="B3" s="315" t="s">
        <v>124</v>
      </c>
      <c r="C3" s="316"/>
      <c r="D3" s="316"/>
      <c r="E3" s="316"/>
      <c r="F3" s="316"/>
      <c r="G3" s="316"/>
      <c r="H3" s="316"/>
      <c r="I3" s="316"/>
      <c r="J3" s="316"/>
      <c r="K3" s="316"/>
      <c r="L3" s="316"/>
      <c r="M3" s="316"/>
      <c r="N3" s="316"/>
      <c r="O3" s="316"/>
      <c r="P3" s="316"/>
      <c r="Q3" s="316"/>
      <c r="R3" s="316"/>
      <c r="S3" s="316"/>
      <c r="T3" s="316"/>
      <c r="U3" s="316"/>
      <c r="V3" s="316"/>
      <c r="W3" s="316"/>
      <c r="X3" s="316"/>
      <c r="Y3" s="316"/>
      <c r="Z3" s="316"/>
      <c r="AA3" s="316"/>
      <c r="AB3" s="316"/>
      <c r="AC3" s="316"/>
      <c r="AD3" s="316"/>
      <c r="AE3" s="316"/>
      <c r="AF3" s="317"/>
      <c r="AG3" s="315" t="s">
        <v>39</v>
      </c>
      <c r="AH3" s="317"/>
      <c r="AI3" s="315" t="s">
        <v>43</v>
      </c>
      <c r="AJ3" s="316"/>
      <c r="AK3" s="316"/>
      <c r="AL3" s="317"/>
      <c r="AM3" s="58"/>
      <c r="AN3" s="315" t="s">
        <v>0</v>
      </c>
      <c r="AO3" s="316"/>
      <c r="AP3" s="316"/>
      <c r="AQ3" s="316"/>
      <c r="AR3" s="317"/>
      <c r="AS3" s="58"/>
      <c r="AT3" s="312" t="s">
        <v>45</v>
      </c>
      <c r="AU3" s="313"/>
      <c r="AV3" s="313"/>
      <c r="AW3" s="314"/>
      <c r="AX3" s="59" t="s">
        <v>144</v>
      </c>
      <c r="AY3" s="60"/>
      <c r="AZ3" s="60"/>
      <c r="BA3" s="60"/>
      <c r="BB3" s="60"/>
      <c r="BC3" s="60"/>
      <c r="BD3" s="60"/>
      <c r="BE3" s="312" t="s">
        <v>129</v>
      </c>
      <c r="BF3" s="313"/>
      <c r="BG3" s="313"/>
      <c r="BH3" s="313"/>
      <c r="BI3" s="313"/>
      <c r="BJ3" s="313"/>
      <c r="BK3" s="313"/>
      <c r="BL3" s="313"/>
      <c r="BM3" s="313"/>
      <c r="BN3" s="313"/>
      <c r="BO3" s="313"/>
      <c r="BP3" s="313"/>
      <c r="BQ3" s="314"/>
      <c r="BR3" s="58"/>
      <c r="BS3" s="309" t="s">
        <v>155</v>
      </c>
      <c r="BT3" s="310"/>
      <c r="BU3" s="311"/>
      <c r="BV3" s="309" t="s">
        <v>174</v>
      </c>
      <c r="BW3" s="310"/>
      <c r="BX3" s="310"/>
      <c r="BY3" s="310"/>
      <c r="BZ3" s="310"/>
      <c r="CA3" s="310"/>
      <c r="CB3" s="311"/>
      <c r="CC3" s="321" t="s">
        <v>175</v>
      </c>
      <c r="CD3" s="322"/>
      <c r="CE3" s="322"/>
      <c r="CF3" s="322"/>
      <c r="CG3" s="322"/>
      <c r="CH3" s="322"/>
      <c r="CI3" s="322"/>
      <c r="CJ3" s="322"/>
      <c r="CK3" s="322"/>
      <c r="CL3" s="322"/>
      <c r="CM3" s="323"/>
      <c r="CN3" s="315" t="s">
        <v>176</v>
      </c>
      <c r="CO3" s="316"/>
      <c r="CP3" s="316"/>
      <c r="CQ3" s="316"/>
      <c r="CR3" s="316"/>
      <c r="CS3" s="316"/>
      <c r="CT3" s="316"/>
      <c r="CU3" s="316"/>
      <c r="CV3" s="316"/>
      <c r="CW3" s="316"/>
      <c r="CX3" s="316"/>
      <c r="CY3" s="316"/>
      <c r="CZ3" s="316"/>
      <c r="DA3" s="316"/>
      <c r="DB3" s="317"/>
      <c r="DC3" s="309" t="s">
        <v>177</v>
      </c>
      <c r="DD3" s="310"/>
      <c r="DE3" s="310"/>
      <c r="DF3" s="310"/>
      <c r="DG3" s="310"/>
      <c r="DH3" s="310"/>
      <c r="DI3" s="310"/>
      <c r="DJ3" s="310"/>
      <c r="DK3" s="310"/>
      <c r="DL3" s="310"/>
      <c r="DM3" s="310"/>
      <c r="DN3" s="310"/>
      <c r="DO3" s="310"/>
      <c r="DP3" s="310"/>
      <c r="DQ3" s="311"/>
      <c r="DR3" s="60"/>
      <c r="DS3" s="315" t="s">
        <v>139</v>
      </c>
      <c r="DT3" s="316"/>
      <c r="DU3" s="316"/>
      <c r="DV3" s="316"/>
      <c r="DW3" s="316"/>
      <c r="DX3" s="316"/>
      <c r="DY3" s="316"/>
      <c r="DZ3" s="316"/>
      <c r="EA3" s="316"/>
      <c r="EB3" s="316"/>
      <c r="EC3" s="317"/>
      <c r="ED3" s="315" t="s">
        <v>303</v>
      </c>
      <c r="EE3" s="316"/>
      <c r="EF3" s="316"/>
      <c r="EG3" s="316"/>
      <c r="EH3" s="317"/>
      <c r="EI3" s="315" t="s">
        <v>304</v>
      </c>
      <c r="EJ3" s="317"/>
      <c r="EK3" s="315" t="s">
        <v>305</v>
      </c>
      <c r="EL3" s="316"/>
      <c r="EM3" s="316"/>
      <c r="EN3" s="316"/>
      <c r="EO3" s="316"/>
      <c r="EP3" s="316"/>
      <c r="EQ3" s="316"/>
      <c r="ER3" s="317"/>
      <c r="ES3" s="60"/>
      <c r="ET3" s="329" t="s">
        <v>70</v>
      </c>
      <c r="EU3" s="329"/>
      <c r="EV3" s="329"/>
      <c r="EW3" s="329"/>
      <c r="EX3" s="329"/>
      <c r="EY3" s="60"/>
      <c r="EZ3" s="330" t="s">
        <v>71</v>
      </c>
      <c r="FA3" s="321"/>
      <c r="FB3" s="212"/>
      <c r="FC3" s="60"/>
      <c r="FD3" s="324" t="s">
        <v>194</v>
      </c>
      <c r="FE3" s="325"/>
      <c r="FF3" s="325"/>
      <c r="FG3" s="325"/>
      <c r="FH3" s="326"/>
      <c r="FI3" s="326"/>
      <c r="FJ3" s="326"/>
      <c r="FK3" s="326"/>
      <c r="FL3" s="326"/>
      <c r="FM3" s="326"/>
      <c r="FN3" s="326"/>
      <c r="FO3" s="326"/>
      <c r="FP3" s="326"/>
      <c r="FQ3" s="326"/>
      <c r="FR3" s="327"/>
      <c r="FS3" s="328" t="s">
        <v>196</v>
      </c>
      <c r="FT3" s="326"/>
      <c r="FU3" s="326"/>
      <c r="FV3" s="326"/>
      <c r="FW3" s="326"/>
      <c r="FX3" s="326"/>
      <c r="FY3" s="326"/>
      <c r="FZ3" s="326"/>
      <c r="GA3" s="326"/>
      <c r="GB3" s="326"/>
      <c r="GC3" s="326"/>
      <c r="GD3" s="170"/>
      <c r="GE3" s="60"/>
      <c r="GF3" s="334" t="s">
        <v>208</v>
      </c>
      <c r="GG3" s="335"/>
      <c r="GH3" s="335"/>
      <c r="GI3" s="335"/>
      <c r="GJ3" s="335"/>
      <c r="GK3" s="335"/>
      <c r="GL3" s="335"/>
      <c r="GM3" s="335"/>
      <c r="GN3" s="335"/>
      <c r="GO3" s="335"/>
      <c r="GP3" s="335"/>
      <c r="GQ3" s="335"/>
      <c r="GR3" s="336"/>
      <c r="GS3" s="192" t="s">
        <v>212</v>
      </c>
      <c r="GT3" s="341" t="s">
        <v>213</v>
      </c>
      <c r="GU3" s="342"/>
      <c r="GV3" s="342"/>
      <c r="GW3" s="342"/>
      <c r="GX3" s="342"/>
      <c r="GY3" s="342"/>
      <c r="GZ3" s="342"/>
      <c r="HA3" s="343"/>
      <c r="HB3" s="57"/>
      <c r="HC3" s="192" t="s">
        <v>101</v>
      </c>
      <c r="HD3" s="331" t="s">
        <v>214</v>
      </c>
      <c r="HE3" s="332"/>
      <c r="HF3" s="332"/>
      <c r="HG3" s="332"/>
      <c r="HH3" s="332"/>
      <c r="HI3" s="332"/>
      <c r="HJ3" s="333"/>
      <c r="HK3" s="190"/>
      <c r="HL3" s="61"/>
      <c r="HM3" s="61"/>
      <c r="HN3" s="294"/>
      <c r="HO3" s="294"/>
    </row>
    <row r="4" spans="1:223" s="63" customFormat="1" ht="135.75" customHeight="1">
      <c r="A4" s="275"/>
      <c r="B4" s="296" t="s">
        <v>287</v>
      </c>
      <c r="C4" s="66" t="s">
        <v>288</v>
      </c>
      <c r="D4" s="243" t="s">
        <v>338</v>
      </c>
      <c r="E4" s="243" t="s">
        <v>339</v>
      </c>
      <c r="F4" s="243" t="s">
        <v>340</v>
      </c>
      <c r="G4" s="243" t="s">
        <v>341</v>
      </c>
      <c r="H4" s="297" t="s">
        <v>337</v>
      </c>
      <c r="I4" s="64" t="s">
        <v>25</v>
      </c>
      <c r="J4" s="65" t="s">
        <v>295</v>
      </c>
      <c r="K4" s="65" t="s">
        <v>296</v>
      </c>
      <c r="L4" s="215" t="s">
        <v>301</v>
      </c>
      <c r="M4" s="65" t="s">
        <v>289</v>
      </c>
      <c r="N4" s="65" t="s">
        <v>285</v>
      </c>
      <c r="O4" s="65" t="s">
        <v>145</v>
      </c>
      <c r="P4" s="66" t="s">
        <v>109</v>
      </c>
      <c r="Q4" s="65" t="s">
        <v>286</v>
      </c>
      <c r="R4" s="66" t="s">
        <v>109</v>
      </c>
      <c r="S4" s="66" t="s">
        <v>172</v>
      </c>
      <c r="T4" s="65" t="s">
        <v>290</v>
      </c>
      <c r="U4" s="65" t="s">
        <v>291</v>
      </c>
      <c r="V4" s="243" t="s">
        <v>294</v>
      </c>
      <c r="W4" s="243" t="s">
        <v>297</v>
      </c>
      <c r="X4" s="243" t="s">
        <v>298</v>
      </c>
      <c r="Y4" s="243" t="s">
        <v>299</v>
      </c>
      <c r="Z4" s="243" t="s">
        <v>293</v>
      </c>
      <c r="AA4" s="74" t="s">
        <v>292</v>
      </c>
      <c r="AB4" s="65" t="s">
        <v>167</v>
      </c>
      <c r="AC4" s="65" t="s">
        <v>38</v>
      </c>
      <c r="AD4" s="65" t="s">
        <v>173</v>
      </c>
      <c r="AE4" s="65" t="s">
        <v>302</v>
      </c>
      <c r="AF4" s="304" t="s">
        <v>246</v>
      </c>
      <c r="AG4" s="68" t="s">
        <v>40</v>
      </c>
      <c r="AH4" s="70" t="s">
        <v>41</v>
      </c>
      <c r="AI4" s="68" t="s">
        <v>163</v>
      </c>
      <c r="AJ4" s="69" t="s">
        <v>164</v>
      </c>
      <c r="AK4" s="69" t="s">
        <v>165</v>
      </c>
      <c r="AL4" s="70" t="s">
        <v>166</v>
      </c>
      <c r="AM4" s="71"/>
      <c r="AN4" s="214" t="s">
        <v>162</v>
      </c>
      <c r="AO4" s="73" t="s">
        <v>247</v>
      </c>
      <c r="AP4" s="73" t="s">
        <v>147</v>
      </c>
      <c r="AQ4" s="73" t="s">
        <v>148</v>
      </c>
      <c r="AR4" s="75" t="s">
        <v>123</v>
      </c>
      <c r="AS4" s="76"/>
      <c r="AT4" s="77" t="s">
        <v>46</v>
      </c>
      <c r="AU4" s="78" t="s">
        <v>47</v>
      </c>
      <c r="AV4" s="79" t="s">
        <v>125</v>
      </c>
      <c r="AW4" s="79" t="s">
        <v>126</v>
      </c>
      <c r="AX4" s="80" t="s">
        <v>127</v>
      </c>
      <c r="AY4" s="81" t="s">
        <v>128</v>
      </c>
      <c r="AZ4" s="82" t="s">
        <v>349</v>
      </c>
      <c r="BA4" s="82" t="s">
        <v>350</v>
      </c>
      <c r="BB4" s="82" t="s">
        <v>351</v>
      </c>
      <c r="BC4" s="82" t="s">
        <v>352</v>
      </c>
      <c r="BD4" s="83"/>
      <c r="BE4" s="65" t="s">
        <v>300</v>
      </c>
      <c r="BF4" s="65" t="s">
        <v>354</v>
      </c>
      <c r="BG4" s="243" t="s">
        <v>355</v>
      </c>
      <c r="BH4" s="65" t="s">
        <v>357</v>
      </c>
      <c r="BI4" s="79" t="s">
        <v>358</v>
      </c>
      <c r="BJ4" s="79" t="s">
        <v>360</v>
      </c>
      <c r="BK4" s="259" t="s">
        <v>356</v>
      </c>
      <c r="BL4" s="260" t="s">
        <v>353</v>
      </c>
      <c r="BM4" s="79" t="s">
        <v>359</v>
      </c>
      <c r="BN4" s="271" t="s">
        <v>363</v>
      </c>
      <c r="BO4" s="65" t="s">
        <v>361</v>
      </c>
      <c r="BP4" s="65" t="s">
        <v>161</v>
      </c>
      <c r="BQ4" s="84" t="s">
        <v>168</v>
      </c>
      <c r="BR4" s="85"/>
      <c r="BS4" s="64" t="s">
        <v>153</v>
      </c>
      <c r="BT4" s="65" t="s">
        <v>75</v>
      </c>
      <c r="BU4" s="67" t="s">
        <v>154</v>
      </c>
      <c r="BV4" s="206" t="s">
        <v>228</v>
      </c>
      <c r="BW4" s="86" t="s">
        <v>48</v>
      </c>
      <c r="BX4" s="87" t="s">
        <v>7</v>
      </c>
      <c r="BY4" s="72" t="s">
        <v>10</v>
      </c>
      <c r="BZ4" s="72" t="s">
        <v>11</v>
      </c>
      <c r="CA4" s="74" t="s">
        <v>170</v>
      </c>
      <c r="CB4" s="88" t="s">
        <v>169</v>
      </c>
      <c r="CC4" s="206" t="s">
        <v>229</v>
      </c>
      <c r="CD4" s="89" t="s">
        <v>50</v>
      </c>
      <c r="CE4" s="87" t="s">
        <v>8</v>
      </c>
      <c r="CF4" s="89" t="s">
        <v>54</v>
      </c>
      <c r="CG4" s="89" t="s">
        <v>55</v>
      </c>
      <c r="CH4" s="74" t="s">
        <v>132</v>
      </c>
      <c r="CI4" s="86" t="s">
        <v>52</v>
      </c>
      <c r="CJ4" s="90" t="s">
        <v>76</v>
      </c>
      <c r="CK4" s="90" t="s">
        <v>77</v>
      </c>
      <c r="CL4" s="74" t="s">
        <v>170</v>
      </c>
      <c r="CM4" s="75" t="s">
        <v>169</v>
      </c>
      <c r="CN4" s="206" t="s">
        <v>226</v>
      </c>
      <c r="CO4" s="69" t="s">
        <v>73</v>
      </c>
      <c r="CP4" s="69" t="s">
        <v>53</v>
      </c>
      <c r="CQ4" s="73" t="s">
        <v>9</v>
      </c>
      <c r="CR4" s="69" t="s">
        <v>56</v>
      </c>
      <c r="CS4" s="69" t="s">
        <v>57</v>
      </c>
      <c r="CT4" s="91" t="s">
        <v>58</v>
      </c>
      <c r="CU4" s="91" t="s">
        <v>59</v>
      </c>
      <c r="CV4" s="91" t="s">
        <v>60</v>
      </c>
      <c r="CW4" s="74" t="s">
        <v>132</v>
      </c>
      <c r="CX4" s="91" t="s">
        <v>61</v>
      </c>
      <c r="CY4" s="91" t="s">
        <v>76</v>
      </c>
      <c r="CZ4" s="91" t="s">
        <v>77</v>
      </c>
      <c r="DA4" s="74" t="s">
        <v>244</v>
      </c>
      <c r="DB4" s="75" t="s">
        <v>169</v>
      </c>
      <c r="DC4" s="206" t="s">
        <v>227</v>
      </c>
      <c r="DD4" s="69" t="s">
        <v>74</v>
      </c>
      <c r="DE4" s="69" t="s">
        <v>119</v>
      </c>
      <c r="DF4" s="73" t="s">
        <v>62</v>
      </c>
      <c r="DG4" s="69" t="s">
        <v>63</v>
      </c>
      <c r="DH4" s="69" t="s">
        <v>64</v>
      </c>
      <c r="DI4" s="91" t="s">
        <v>65</v>
      </c>
      <c r="DJ4" s="91" t="s">
        <v>66</v>
      </c>
      <c r="DK4" s="91" t="s">
        <v>67</v>
      </c>
      <c r="DL4" s="74" t="s">
        <v>132</v>
      </c>
      <c r="DM4" s="91" t="s">
        <v>68</v>
      </c>
      <c r="DN4" s="91" t="s">
        <v>76</v>
      </c>
      <c r="DO4" s="91" t="s">
        <v>77</v>
      </c>
      <c r="DP4" s="74" t="s">
        <v>244</v>
      </c>
      <c r="DQ4" s="75" t="s">
        <v>169</v>
      </c>
      <c r="DR4" s="92"/>
      <c r="DS4" s="299" t="s">
        <v>120</v>
      </c>
      <c r="DT4" s="300" t="s">
        <v>142</v>
      </c>
      <c r="DU4" s="300" t="s">
        <v>141</v>
      </c>
      <c r="DV4" s="69" t="s">
        <v>178</v>
      </c>
      <c r="DW4" s="91" t="s">
        <v>179</v>
      </c>
      <c r="DX4" s="91" t="s">
        <v>121</v>
      </c>
      <c r="DY4" s="74" t="s">
        <v>143</v>
      </c>
      <c r="DZ4" s="91" t="s">
        <v>140</v>
      </c>
      <c r="EA4" s="74" t="s">
        <v>132</v>
      </c>
      <c r="EB4" s="72" t="s">
        <v>12</v>
      </c>
      <c r="EC4" s="75" t="s">
        <v>250</v>
      </c>
      <c r="ED4" s="68" t="s">
        <v>308</v>
      </c>
      <c r="EE4" s="93" t="s">
        <v>122</v>
      </c>
      <c r="EF4" s="93" t="s">
        <v>69</v>
      </c>
      <c r="EG4" s="91" t="s">
        <v>306</v>
      </c>
      <c r="EH4" s="75" t="s">
        <v>307</v>
      </c>
      <c r="EI4" s="94" t="s">
        <v>180</v>
      </c>
      <c r="EJ4" s="95" t="s">
        <v>69</v>
      </c>
      <c r="EK4" s="68" t="s">
        <v>182</v>
      </c>
      <c r="EL4" s="302" t="s">
        <v>370</v>
      </c>
      <c r="EM4" s="70" t="s">
        <v>42</v>
      </c>
      <c r="EN4" s="80" t="s">
        <v>185</v>
      </c>
      <c r="EO4" s="303" t="s">
        <v>310</v>
      </c>
      <c r="EP4" s="303" t="s">
        <v>311</v>
      </c>
      <c r="EQ4" s="303" t="s">
        <v>313</v>
      </c>
      <c r="ER4" s="75" t="s">
        <v>309</v>
      </c>
      <c r="ES4" s="275"/>
      <c r="ET4" s="96" t="s">
        <v>221</v>
      </c>
      <c r="EU4" s="69" t="s">
        <v>217</v>
      </c>
      <c r="EV4" s="69" t="s">
        <v>218</v>
      </c>
      <c r="EW4" s="69" t="s">
        <v>219</v>
      </c>
      <c r="EX4" s="80" t="s">
        <v>220</v>
      </c>
      <c r="EY4" s="275"/>
      <c r="EZ4" s="64" t="s">
        <v>28</v>
      </c>
      <c r="FA4" s="166" t="s">
        <v>72</v>
      </c>
      <c r="FB4" s="171" t="s">
        <v>245</v>
      </c>
      <c r="FC4" s="275"/>
      <c r="FD4" s="96" t="s">
        <v>195</v>
      </c>
      <c r="FE4" s="97" t="s">
        <v>190</v>
      </c>
      <c r="FF4" s="269" t="s">
        <v>362</v>
      </c>
      <c r="FG4" s="267" t="s">
        <v>314</v>
      </c>
      <c r="FH4" s="98" t="s">
        <v>186</v>
      </c>
      <c r="FI4" s="99" t="s">
        <v>187</v>
      </c>
      <c r="FJ4" s="99" t="s">
        <v>188</v>
      </c>
      <c r="FK4" s="100" t="s">
        <v>22</v>
      </c>
      <c r="FL4" s="101" t="s">
        <v>23</v>
      </c>
      <c r="FM4" s="101" t="s">
        <v>24</v>
      </c>
      <c r="FN4" s="100" t="s">
        <v>315</v>
      </c>
      <c r="FO4" s="100" t="s">
        <v>316</v>
      </c>
      <c r="FP4" s="250" t="s">
        <v>324</v>
      </c>
      <c r="FQ4" s="100" t="s">
        <v>317</v>
      </c>
      <c r="FR4" s="102" t="s">
        <v>318</v>
      </c>
      <c r="FS4" s="98" t="s">
        <v>191</v>
      </c>
      <c r="FT4" s="99" t="s">
        <v>192</v>
      </c>
      <c r="FU4" s="99" t="s">
        <v>193</v>
      </c>
      <c r="FV4" s="100" t="s">
        <v>22</v>
      </c>
      <c r="FW4" s="103" t="s">
        <v>23</v>
      </c>
      <c r="FX4" s="103" t="s">
        <v>24</v>
      </c>
      <c r="FY4" s="104" t="s">
        <v>319</v>
      </c>
      <c r="FZ4" s="104" t="s">
        <v>320</v>
      </c>
      <c r="GA4" s="250" t="s">
        <v>323</v>
      </c>
      <c r="GB4" s="100" t="s">
        <v>321</v>
      </c>
      <c r="GC4" s="102" t="s">
        <v>322</v>
      </c>
      <c r="GD4" s="171" t="s">
        <v>215</v>
      </c>
      <c r="GE4" s="275"/>
      <c r="GF4" s="172" t="s">
        <v>38</v>
      </c>
      <c r="GG4" s="173" t="s">
        <v>210</v>
      </c>
      <c r="GH4" s="173" t="s">
        <v>327</v>
      </c>
      <c r="GI4" s="174" t="s">
        <v>103</v>
      </c>
      <c r="GJ4" s="173" t="s">
        <v>211</v>
      </c>
      <c r="GK4" s="173" t="s">
        <v>198</v>
      </c>
      <c r="GL4" s="173" t="s">
        <v>197</v>
      </c>
      <c r="GM4" s="173" t="s">
        <v>325</v>
      </c>
      <c r="GN4" s="174" t="s">
        <v>92</v>
      </c>
      <c r="GO4" s="173" t="s">
        <v>200</v>
      </c>
      <c r="GP4" s="174" t="s">
        <v>104</v>
      </c>
      <c r="GQ4" s="173" t="s">
        <v>201</v>
      </c>
      <c r="GR4" s="175" t="s">
        <v>105</v>
      </c>
      <c r="GS4" s="172" t="s">
        <v>107</v>
      </c>
      <c r="GT4" s="174" t="s">
        <v>95</v>
      </c>
      <c r="GU4" s="174" t="s">
        <v>96</v>
      </c>
      <c r="GV4" s="174" t="s">
        <v>97</v>
      </c>
      <c r="GW4" s="174" t="s">
        <v>98</v>
      </c>
      <c r="GX4" s="174" t="s">
        <v>99</v>
      </c>
      <c r="GY4" s="174" t="s">
        <v>100</v>
      </c>
      <c r="GZ4" s="174" t="s">
        <v>106</v>
      </c>
      <c r="HA4" s="184" t="s">
        <v>209</v>
      </c>
      <c r="HC4" s="172" t="s">
        <v>94</v>
      </c>
      <c r="HD4" s="174" t="s">
        <v>95</v>
      </c>
      <c r="HE4" s="174" t="s">
        <v>96</v>
      </c>
      <c r="HF4" s="174" t="s">
        <v>97</v>
      </c>
      <c r="HG4" s="174" t="s">
        <v>98</v>
      </c>
      <c r="HH4" s="174" t="s">
        <v>99</v>
      </c>
      <c r="HI4" s="174" t="s">
        <v>100</v>
      </c>
      <c r="HJ4" s="174" t="s">
        <v>106</v>
      </c>
      <c r="HK4" s="184" t="s">
        <v>209</v>
      </c>
      <c r="HL4" s="189" t="s">
        <v>366</v>
      </c>
      <c r="HM4" s="189" t="s">
        <v>365</v>
      </c>
      <c r="HN4" s="275"/>
      <c r="HO4" s="275"/>
    </row>
    <row r="5" spans="1:223" s="105" customFormat="1" ht="61.5" customHeight="1" thickBot="1">
      <c r="A5" s="276"/>
      <c r="B5" s="298"/>
      <c r="C5" s="242"/>
      <c r="D5" s="253" t="str">
        <f>IF(AND(AC5="electrophotographic",AD5="only monochrome"),GZ5,"")</f>
        <v/>
      </c>
      <c r="E5" s="253" t="str">
        <f>IF(AND(AC5="electrophotographic",AD5="colour and monochrome"),HJ5,"")</f>
        <v/>
      </c>
      <c r="F5" s="253" t="str">
        <f>IF(D5&lt;&gt;"",D5,E5)</f>
        <v/>
      </c>
      <c r="G5" s="253" t="str">
        <f>IF(F5="not quantifiable",2,IF(F5="No test, device identical acc. appendix B-M reg. page throughput ",HL5,IF(F5="No test, device identical acc. appendix B-M reg. changes base unit",HL5,F5)))</f>
        <v/>
      </c>
      <c r="H5" s="306" t="str">
        <f>IF(G5&gt;30000,G5,IF(G5&gt;3,"31.12.2022",IF(G5&gt;2.5,"31.12.2024","31.12.2025")))</f>
        <v/>
      </c>
      <c r="I5" s="205"/>
      <c r="J5" s="40"/>
      <c r="K5" s="245"/>
      <c r="L5" s="247"/>
      <c r="M5" s="43"/>
      <c r="N5" s="43"/>
      <c r="O5" s="43"/>
      <c r="P5" s="44"/>
      <c r="Q5" s="43"/>
      <c r="R5" s="44"/>
      <c r="S5" s="44"/>
      <c r="T5" s="45"/>
      <c r="U5" s="246"/>
      <c r="V5" s="248" t="str">
        <f>IF(AND(OR(C5&lt;DATE(2023,1,1),J5="yes"),T5&gt;=5),"yes","no")</f>
        <v>no</v>
      </c>
      <c r="W5" s="248" t="str">
        <f>IF(AND(C5&gt;=DATE(2023,1,1),C5&lt;DATE(2024,1,1)),"yes","no")</f>
        <v>no</v>
      </c>
      <c r="X5" s="248" t="str">
        <f>IF(C5&gt;=DATE(2024,1,1),"yes","no")</f>
        <v>no</v>
      </c>
      <c r="Y5" s="248" t="str">
        <f>IF(AND(W5="yes",U5&gt;=1),"yes","no")</f>
        <v>no</v>
      </c>
      <c r="Z5" s="248" t="str">
        <f>IF(AND(X5="yes",U5&gt;=5),"yes","no")</f>
        <v>no</v>
      </c>
      <c r="AA5" s="109" t="str">
        <f>IF(N5="","",IF(OR(V5="yes",Y5="yes",Z5="yes"),"ok","not ok"))</f>
        <v/>
      </c>
      <c r="AB5" s="45"/>
      <c r="AC5" s="45"/>
      <c r="AD5" s="40"/>
      <c r="AE5" s="40"/>
      <c r="AF5" s="305"/>
      <c r="AG5" s="106" t="s">
        <v>15</v>
      </c>
      <c r="AH5" s="42"/>
      <c r="AI5" s="193"/>
      <c r="AJ5" s="194"/>
      <c r="AK5" s="194"/>
      <c r="AL5" s="195"/>
      <c r="AM5" s="107"/>
      <c r="AN5" s="39"/>
      <c r="AO5" s="108" t="str">
        <f>IF(AN5="by default","ok","")</f>
        <v/>
      </c>
      <c r="AP5" s="108" t="str">
        <f>IF(AND(AD5="colour and monochrome",AI5&lt;20),"ok","not ok")</f>
        <v>not ok</v>
      </c>
      <c r="AQ5" s="108" t="str">
        <f>IF(AND(AD5="only monochrome",AI5&lt;25),"ok","not ok")</f>
        <v>not ok</v>
      </c>
      <c r="AR5" s="119" t="str">
        <f>IF(AN5="","",IF(OR(AO5="ok",AP5="ok",AQ5="ok"),"ok","not ok"))</f>
        <v/>
      </c>
      <c r="AS5" s="111"/>
      <c r="AT5" s="112" t="str">
        <f>IF(AI5="","",IF(VALUE(AI5)&gt;40,15,IF(VALUE(AI5)&gt;30,10,IF(VALUE(AI5)&gt;20,10,IF(VALUE(AI5)&gt;10,10,IF(VALUE(AI5)&gt;5,10,5))))))</f>
        <v/>
      </c>
      <c r="AU5" s="113" t="str">
        <f>IF(AI5="","",IF(VALUE(AI5)&gt;40,60,IF(VALUE(AI5)&gt;30,45,IF(VALUE(AI5)&gt;20,30,IF(VALUE(AI5)&gt;10,20,IF(VALUE(AI5)&gt;5,15,10))))))</f>
        <v/>
      </c>
      <c r="AV5" s="114" t="str">
        <f>IF(AI5="","",IF((0.42*AI5+5)&lt;30,(0.42*AI5+5),30))</f>
        <v/>
      </c>
      <c r="AW5" s="114" t="str">
        <f>IF(AI5="","",IF((0.51*AI5+15)&lt;60,(0.51*AI5+15),60))</f>
        <v/>
      </c>
      <c r="AX5" s="115" t="str">
        <f>IF(AI5="","",IF(VALUE(AI5)&gt;30,120,60))</f>
        <v/>
      </c>
      <c r="AY5" s="116" t="str">
        <f>IF(AH5="yes","MFG","Drucker")</f>
        <v>Drucker</v>
      </c>
      <c r="AZ5" s="117" t="e">
        <f>VLOOKUP(AI5,'ES 3.0'!A3:E152,5,FALSE)</f>
        <v>#N/A</v>
      </c>
      <c r="BA5" s="117" t="e">
        <f>VLOOKUP(AI5,'ES 3.0'!A3:E152,3,FALSE)</f>
        <v>#N/A</v>
      </c>
      <c r="BB5" s="117" t="e">
        <f>VLOOKUP(AI5,'ES 3.0'!A3:E152,4,FALSE)</f>
        <v>#N/A</v>
      </c>
      <c r="BC5" s="117" t="e">
        <f>VLOOKUP(AI5,'ES 3.0'!A3:E152,2,FALSE)</f>
        <v>#N/A</v>
      </c>
      <c r="BD5" s="118"/>
      <c r="BE5" s="45"/>
      <c r="BF5" s="45"/>
      <c r="BG5" s="261">
        <f>IF(AND(BF5="yes",BE5="yes"),0.3,IF(AND(BF5="yes",BE5="no"),0.05,0))</f>
        <v>0</v>
      </c>
      <c r="BH5" s="258"/>
      <c r="BI5" s="264"/>
      <c r="BJ5" s="265" t="str">
        <f>IF(BE5="yes",BG5+BI5,"")</f>
        <v/>
      </c>
      <c r="BK5" s="262">
        <f>IF(BH5="yes",0.1,0)</f>
        <v>0</v>
      </c>
      <c r="BL5" s="262" t="str">
        <f>IF(AND(AD5="colour and monochrome",AY5="MFG"),BC5,IF(AND(AD5="only monochrome",AY5="MFG"),BB5,IF(AND(AD5="only monochrome",AY5="Drucker"),AZ5,IF(AND(AD5="colour and monochrome",AY5="Drucker"),BA5,""))))</f>
        <v/>
      </c>
      <c r="BM5" s="263" t="str">
        <f>IF(BE5="no",BG5+BK5+BL5,"")</f>
        <v/>
      </c>
      <c r="BN5" s="272"/>
      <c r="BO5" s="45"/>
      <c r="BP5" s="216"/>
      <c r="BQ5" s="119" t="str">
        <f>IF(BP5="","",IF(AND(BP5&lt;=BM5,BE5="no"),"ok",IF(AND(BP5&lt;=BJ5,BE5="yes"),"ok","not ok")))</f>
        <v/>
      </c>
      <c r="BR5" s="120"/>
      <c r="BS5" s="37"/>
      <c r="BT5" s="196"/>
      <c r="BU5" s="38"/>
      <c r="BV5" s="197"/>
      <c r="BW5" s="121">
        <v>0</v>
      </c>
      <c r="BX5" s="122">
        <f>IF(CD5="",1000,CD5)</f>
        <v>1000</v>
      </c>
      <c r="BY5" s="123" t="str">
        <f>IF(AND(AT5&gt;BW5,AT5&lt;=BX5),"ja","nein")</f>
        <v>nein</v>
      </c>
      <c r="BZ5" s="123" t="str">
        <f>IF(AND(AU5&gt;BW5,AU5&lt;=BX5),"ja","nein")</f>
        <v>nein</v>
      </c>
      <c r="CA5" s="109" t="str">
        <f>IF(BV5="","",IF(BY5="ja","ok","not applicable for this mode"))</f>
        <v/>
      </c>
      <c r="CB5" s="124" t="str">
        <f>IF(BV5="","",IF(BZ5="ja","ok","not applicable for this mode"))</f>
        <v/>
      </c>
      <c r="CC5" s="197"/>
      <c r="CD5" s="33"/>
      <c r="CE5" s="122">
        <f>IF(CT5="",1000,CT5)</f>
        <v>1000</v>
      </c>
      <c r="CF5" s="33"/>
      <c r="CG5" s="33"/>
      <c r="CH5" s="109" t="str">
        <f>IF(CC5="","",IF(AND(AI5&gt;30,CG5&lt;=120),"ok",IF(AND(AI5&lt;=30,CG5&lt;=60),"ok","not ok")))</f>
        <v/>
      </c>
      <c r="CI5" s="199" t="str">
        <f>IF(CC5="","",CC16-BV14)</f>
        <v/>
      </c>
      <c r="CJ5" s="125" t="str">
        <f>IF(CC5="","",IF(AND(AT5&gt;CD5,AT5&lt;=CE5),"yes","no"))</f>
        <v/>
      </c>
      <c r="CK5" s="125" t="str">
        <f>IF(CC5="","",IF(AND(AU5&gt;CD5,AU5&lt;=CE5),"yes","no"))</f>
        <v/>
      </c>
      <c r="CL5" s="109" t="str">
        <f>IF(CC5="","",IF(AND(CJ5="yes",CI5&lt;=AV5),"ok",IF(AND(CJ5="yes",CI5&gt;AV5),"not ok","not applicable for this mode")))</f>
        <v/>
      </c>
      <c r="CM5" s="119" t="str">
        <f>IF(CC5="","",IF(AND(CK5="yes",CI5&lt;=AW5),"ok",IF(AND(CK5="yes",CI5&gt;AW5),"not ok","not applicable for this mode")))</f>
        <v/>
      </c>
      <c r="CN5" s="197"/>
      <c r="CO5" s="200"/>
      <c r="CP5" s="201"/>
      <c r="CQ5" s="122">
        <f>IF(DI5="",1000,DI5)</f>
        <v>1000</v>
      </c>
      <c r="CR5" s="33"/>
      <c r="CS5" s="33"/>
      <c r="CT5" s="126" t="str">
        <f>IF(CN5="","",IF(CP5="after end of printing process",CO5,CO5+CD5))</f>
        <v/>
      </c>
      <c r="CU5" s="126" t="str">
        <f>IF(CN5="","",IF(CP5="after end of printing process",CR5,CR5+CF5))</f>
        <v/>
      </c>
      <c r="CV5" s="126" t="str">
        <f>IF(CN5="","",IF(CP5="after end of printing process",CS5,CS5+CF5))</f>
        <v/>
      </c>
      <c r="CW5" s="127" t="str">
        <f>IF(CN5="","",IF(AND(AI5&gt;30,CV5&lt;=120),"ok",IF(AND(AI5&lt;=30,CV5&lt;=60),"ok","not ok")))</f>
        <v/>
      </c>
      <c r="CX5" s="199" t="str">
        <f>IF(CN5="","",CN16-BV14)</f>
        <v/>
      </c>
      <c r="CY5" s="128" t="str">
        <f>IF(CN5="","",IF(AND(AT5&gt;CT5,AT5&lt;=CQ5),"yes","no"))</f>
        <v/>
      </c>
      <c r="CZ5" s="128" t="str">
        <f>IF(CN5="","",IF(AND(AU5&gt;CT5,AU5&lt;=CQ5),"yes","no"))</f>
        <v/>
      </c>
      <c r="DA5" s="127" t="str">
        <f>IF(CN5="","",IF(AND(CY5="yes",CX5&lt;=AV5),"ok",IF(AND(CY5="yes",CX5&gt;AV5),"not ok","not applicable for this mode")))</f>
        <v/>
      </c>
      <c r="DB5" s="110" t="str">
        <f>IF(CN5="","",IF(AND(CZ5="yes",CX5&lt;=AW5),"ok",IF(AND(CZ5="yes",CX5&gt;AW5),"not ok","not applicable for this mode")))</f>
        <v/>
      </c>
      <c r="DC5" s="197"/>
      <c r="DD5" s="36"/>
      <c r="DE5" s="202"/>
      <c r="DF5" s="122" t="str">
        <f>IF(DD5="","",1000)</f>
        <v/>
      </c>
      <c r="DG5" s="36"/>
      <c r="DH5" s="36"/>
      <c r="DI5" s="126" t="str">
        <f>IF(DC5="","",IF(DE5="after end of printing process",DD5,DD5+CT5))</f>
        <v/>
      </c>
      <c r="DJ5" s="126" t="str">
        <f>IF(DC5="","",IF(DE5="after end of printing process",DG5,DG5+CU5))</f>
        <v/>
      </c>
      <c r="DK5" s="126" t="str">
        <f>IF(DC5="","",IF(DE5="after end of printing process",DH5,DH5+CV5))</f>
        <v/>
      </c>
      <c r="DL5" s="127" t="str">
        <f>IF(DC5="","",IF(AND(AI5&gt;30,DK5&lt;=120),"ok",IF(AND(AI5&lt;=30,DK5&lt;=60),"ok","not ok")))</f>
        <v/>
      </c>
      <c r="DM5" s="203" t="str">
        <f>IF(DC5="","",DC16-BV14)</f>
        <v/>
      </c>
      <c r="DN5" s="128" t="str">
        <f>IF(DC5="","",IF(AND(AT5&gt;DI5,AT5&lt;=DF5),"yes","no"))</f>
        <v/>
      </c>
      <c r="DO5" s="128" t="str">
        <f>IF(DC5="","",IF(AND(AU5&gt;DI5,AU5&lt;=DF5),"yes","no"))</f>
        <v/>
      </c>
      <c r="DP5" s="127" t="str">
        <f>IF(DC5="","",IF(AND(DN5="yes",DM5&lt;=AV5),"ok",IF(AND(DN5="yes",DM5&gt;AV5),"not ok","not applicable for this mode")))</f>
        <v/>
      </c>
      <c r="DQ5" s="110" t="str">
        <f>IF(DC5="","",IF(AND(DO5="yes",DM5&lt;=AW5),"ok",IF(AND(DO5="yes",DM5&gt;AW5),"not ok","not applicable for this mode")))</f>
        <v/>
      </c>
      <c r="DR5" s="129"/>
      <c r="DS5" s="301" t="str">
        <f>IF(DV5="","",IF(AE5="yes",3, 2))</f>
        <v/>
      </c>
      <c r="DT5" s="130">
        <f>IF(AI5&gt;20,45,IF(AI5&gt;10,30,15))</f>
        <v>15</v>
      </c>
      <c r="DU5" s="130">
        <f>IF(AI5&gt;30,45,IF(AI5&gt;20,30,IF(AI5&gt;10,15,5)))</f>
        <v>5</v>
      </c>
      <c r="DV5" s="204"/>
      <c r="DW5" s="131" t="str">
        <f>IF(DX5="not yet selected","",IF(AY5="Drucker",DU5,DT5))</f>
        <v/>
      </c>
      <c r="DX5" s="132" t="str">
        <f>(IF(DV5="Za",BV5,IF(DV5="Zb",CC5,IF(DV5="Zc",CN5,IF(DV5="Zd",DC5,"not yet selected")))))</f>
        <v>not yet selected</v>
      </c>
      <c r="DY5" s="109" t="str">
        <f>IF(DV5="","",IF(DX5&lt;=DS5,"ok","not ok"))</f>
        <v/>
      </c>
      <c r="DZ5" s="131" t="str">
        <f>(IF(DV5="Za",BW5,IF(DV5="Zb",CD5,IF(DV5="Zc",CT5,IF(DV5="Zd",DI5,"not yet selected")))))</f>
        <v>not yet selected</v>
      </c>
      <c r="EA5" s="109" t="str">
        <f>IF(DV5="","",IF(DZ5&lt;=DW5,"ok","not ok"))</f>
        <v/>
      </c>
      <c r="EB5" s="123" t="str">
        <f>(IF(DV5="Za","no",IF(DV5="Zb",CC14,IF(DV5="Zc",CN14,IF(DV5="Zd",DC14,"no")))))</f>
        <v>no</v>
      </c>
      <c r="EC5" s="119" t="str">
        <f>IF(DV5="","",(IF(EB5="yes","not ok","ok")))</f>
        <v/>
      </c>
      <c r="ED5" s="46"/>
      <c r="EE5" s="41"/>
      <c r="EF5" s="50"/>
      <c r="EG5" s="121">
        <v>0.4</v>
      </c>
      <c r="EH5" s="119" t="str">
        <f>IF(AND(ED5="yes",EF5&lt;=EG5),"ok","not ok")</f>
        <v>not ok</v>
      </c>
      <c r="EI5" s="49"/>
      <c r="EJ5" s="47"/>
      <c r="EK5" s="48"/>
      <c r="EL5" s="245"/>
      <c r="EM5" s="245"/>
      <c r="EN5" s="133">
        <f>(IF(EK5="Zb",CC5,IF(EK5="Zc",CN5,IF(EK5="Zd",DC5,IF(EK5="Ze",EF5,IF(EK5="Zf",EJ5,EK5))))))</f>
        <v>0</v>
      </c>
      <c r="EO5" s="249" t="str">
        <f>IF(AND(AB5="yes",EM5="no"),"yes","no")</f>
        <v>no</v>
      </c>
      <c r="EP5" s="249" t="str">
        <f>IF(AND(C5&gt;=DATE(2022,1,1),J5="no"),"yes","no")</f>
        <v>no</v>
      </c>
      <c r="EQ5" s="249" t="str">
        <f>IF(AND(EN5&lt;=0.4,EL5&lt;=240,EL8="yes"),"yes","no")</f>
        <v>no</v>
      </c>
      <c r="ER5" s="119" t="str">
        <f>IF(OR(EO5="no",EP5="no",AND(EO5="yes",EP5="yes",EQ5="yes")),"ok","not ok")</f>
        <v>ok</v>
      </c>
      <c r="ES5" s="276"/>
      <c r="ET5" s="46"/>
      <c r="EU5" s="169"/>
      <c r="EV5" s="169"/>
      <c r="EW5" s="169"/>
      <c r="EX5" s="167" t="str">
        <f>IF(ET5="","",ET16-BV14)</f>
        <v/>
      </c>
      <c r="EY5" s="275"/>
      <c r="EZ5" s="46"/>
      <c r="FA5" s="167" t="str">
        <f>IF(EZ5="","",EZ16-BV14)</f>
        <v/>
      </c>
      <c r="FB5" s="217"/>
      <c r="FC5" s="276"/>
      <c r="FD5" s="207"/>
      <c r="FE5" s="44"/>
      <c r="FF5" s="270"/>
      <c r="FG5" s="268"/>
      <c r="FH5" s="51"/>
      <c r="FI5" s="52"/>
      <c r="FJ5" s="52"/>
      <c r="FK5" s="114" t="str">
        <f>IF(FI5&lt;&gt;"",(FH5+FI5+FJ5)/3,"")</f>
        <v/>
      </c>
      <c r="FL5" s="134" t="e">
        <f>SQRT(((FH5-FK5)^2+(FI5-FK5)^2+(FJ5-FK5)^2)/2)</f>
        <v>#VALUE!</v>
      </c>
      <c r="FM5" s="134" t="e">
        <f>SQRT(1.5^2+FL5^2)</f>
        <v>#VALUE!</v>
      </c>
      <c r="FN5" s="114" t="str">
        <f>IF(FI5&lt;&gt;"",(FK5+1.514*FM5+0.564*(2-FM5)),"")</f>
        <v/>
      </c>
      <c r="FO5" s="114" t="str">
        <f>IF(AND(FH5="",FI5=""),"",IF(FI5&lt;&gt;"","",(FH5+3)))</f>
        <v/>
      </c>
      <c r="FP5" s="251">
        <f>IF(AI5&lt;=10,64,(48+14*LOG10(AI5+4)))</f>
        <v>64</v>
      </c>
      <c r="FQ5" s="114" t="str">
        <f>IF(AI5="","",FP5)</f>
        <v/>
      </c>
      <c r="FR5" s="124" t="str">
        <f>IF(OR(FN5&lt;=FQ5,FO5&lt;=FQ5,FD5="not necessary (Appendix B-M)"),"oK","not ok")</f>
        <v>oK</v>
      </c>
      <c r="FS5" s="54"/>
      <c r="FT5" s="53"/>
      <c r="FU5" s="53"/>
      <c r="FV5" s="132" t="str">
        <f>IF(FT5&lt;&gt;"",(FS5+FT5+FU5)/3,"")</f>
        <v/>
      </c>
      <c r="FW5" s="134" t="e">
        <f>SQRT(((FS5-FV5)^2+(FT5-FV5)^2+(FU5-FV5)^2)/2)</f>
        <v>#VALUE!</v>
      </c>
      <c r="FX5" s="134" t="e">
        <f>SQRT(1.5^2+FW5^2)</f>
        <v>#VALUE!</v>
      </c>
      <c r="FY5" s="114" t="str">
        <f>IF(FT5&lt;&gt;"",(FV5+1.514*FX5+0.564*(2-FX5)),"")</f>
        <v/>
      </c>
      <c r="FZ5" s="114" t="str">
        <f>IF(AND(FS5="",FT5=""),"",IF(FT5&lt;&gt;"","",(FS5+3)))</f>
        <v/>
      </c>
      <c r="GA5" s="251">
        <f>IF(AJ5&lt;=10,64,(48+14*LOG10(AJ5+4)))</f>
        <v>64</v>
      </c>
      <c r="GB5" s="114" t="str">
        <f>IF(AJ5="","",GA5)</f>
        <v/>
      </c>
      <c r="GC5" s="119" t="str">
        <f>IF(OR(FY5&lt;=GB5,FZ5&lt;=GB5,FD5="not necessary (Appendix B-M)"),"oK","not ok")</f>
        <v>oK</v>
      </c>
      <c r="GD5" s="217"/>
      <c r="GE5" s="276"/>
      <c r="GF5" s="208">
        <f>AC5</f>
        <v>0</v>
      </c>
      <c r="GG5" s="209">
        <f>AD5</f>
        <v>0</v>
      </c>
      <c r="GH5" s="43"/>
      <c r="GI5" s="176"/>
      <c r="GJ5" s="177"/>
      <c r="GK5" s="178"/>
      <c r="GL5" s="179"/>
      <c r="GM5" s="209" t="str">
        <f>IF(GL5="","",GK5/GL5/1000)</f>
        <v/>
      </c>
      <c r="GN5" s="180"/>
      <c r="GO5" s="181"/>
      <c r="GP5" s="178"/>
      <c r="GQ5" s="182"/>
      <c r="GR5" s="183"/>
      <c r="GS5" s="185"/>
      <c r="GT5" s="186"/>
      <c r="GU5" s="186"/>
      <c r="GV5" s="186"/>
      <c r="GW5" s="187"/>
      <c r="GX5" s="186"/>
      <c r="GY5" s="252"/>
      <c r="GZ5" s="307"/>
      <c r="HA5" s="188"/>
      <c r="HC5" s="185"/>
      <c r="HD5" s="186"/>
      <c r="HE5" s="186"/>
      <c r="HF5" s="186"/>
      <c r="HG5" s="186"/>
      <c r="HH5" s="186"/>
      <c r="HI5" s="252"/>
      <c r="HJ5" s="307"/>
      <c r="HK5" s="191"/>
      <c r="HL5" s="308" t="s">
        <v>368</v>
      </c>
      <c r="HM5" s="295"/>
      <c r="HN5" s="276"/>
      <c r="HO5" s="276"/>
    </row>
    <row r="6" spans="1:223" s="147" customFormat="1" ht="39.75" customHeight="1">
      <c r="A6" s="277"/>
      <c r="B6" s="277"/>
      <c r="C6" s="277"/>
      <c r="D6" s="277"/>
      <c r="E6" s="277"/>
      <c r="F6" s="277"/>
      <c r="G6" s="277"/>
      <c r="H6" s="277"/>
      <c r="I6" s="277"/>
      <c r="J6" s="136" t="str">
        <f t="shared" ref="J6" si="0">IF(J5="","please select!","")</f>
        <v>please select!</v>
      </c>
      <c r="K6" s="144" t="str">
        <f>IF(AND(J5="yes",K5=""),"please enter","")</f>
        <v/>
      </c>
      <c r="L6" s="136" t="str">
        <f>IF(L5="","please enter!","")</f>
        <v>please enter!</v>
      </c>
      <c r="M6" s="136" t="str">
        <f>IF(M5="","please enter!","")</f>
        <v>please enter!</v>
      </c>
      <c r="N6" s="136" t="str">
        <f>IF(N5="","please enter!","")</f>
        <v>please enter!</v>
      </c>
      <c r="O6" s="281"/>
      <c r="P6" s="277"/>
      <c r="Q6" s="136" t="str">
        <f>IF(Q5="","please enter if applicable!","")</f>
        <v>please enter if applicable!</v>
      </c>
      <c r="R6" s="277"/>
      <c r="S6" s="277"/>
      <c r="T6" s="136" t="str">
        <f>IF(T5="","please fill in!","")</f>
        <v>please fill in!</v>
      </c>
      <c r="U6" s="136" t="str">
        <f>IF(U5="","please fill in!","")</f>
        <v>please fill in!</v>
      </c>
      <c r="V6" s="281"/>
      <c r="W6" s="281"/>
      <c r="X6" s="281"/>
      <c r="Y6" s="281"/>
      <c r="Z6" s="281"/>
      <c r="AA6" s="141"/>
      <c r="AB6" s="136" t="str">
        <f t="shared" ref="AB6" si="1">IF(AB5="","please select!","")</f>
        <v>please select!</v>
      </c>
      <c r="AC6" s="136" t="str">
        <f t="shared" ref="AC6:AH6" si="2">IF(AC5="","please select!","")</f>
        <v>please select!</v>
      </c>
      <c r="AD6" s="136" t="str">
        <f t="shared" si="2"/>
        <v>please select!</v>
      </c>
      <c r="AE6" s="136" t="str">
        <f t="shared" si="2"/>
        <v>please select!</v>
      </c>
      <c r="AF6" s="281"/>
      <c r="AG6" s="283"/>
      <c r="AH6" s="136" t="str">
        <f t="shared" si="2"/>
        <v>please select!</v>
      </c>
      <c r="AI6" s="136" t="str">
        <f>IF(AND(AI5="",AG5="yes"),"please enter!","")</f>
        <v>please enter!</v>
      </c>
      <c r="AJ6" s="136" t="str">
        <f>IF(AND(AJ5="",AG5="yes",AD5="colour and monochrome"),"please enter!","")</f>
        <v/>
      </c>
      <c r="AK6" s="137" t="str">
        <f>IF(AND(AK5="",AH5="yes"),"please enter!","")</f>
        <v/>
      </c>
      <c r="AL6" s="137" t="str">
        <f>IF(AND(AL5="",AH5="yes",AD5="colour and monochrome"),"please enter!","")</f>
        <v/>
      </c>
      <c r="AM6" s="138"/>
      <c r="AN6" s="168" t="str">
        <f>IF(AN5="","please select!","")</f>
        <v>please select!</v>
      </c>
      <c r="AO6" s="140"/>
      <c r="AP6" s="140"/>
      <c r="AQ6" s="140"/>
      <c r="AR6" s="141"/>
      <c r="AS6" s="141"/>
      <c r="AT6" s="141"/>
      <c r="AU6" s="141"/>
      <c r="AV6" s="141"/>
      <c r="AW6" s="141"/>
      <c r="AX6" s="141"/>
      <c r="AY6" s="141"/>
      <c r="AZ6" s="141"/>
      <c r="BA6" s="141"/>
      <c r="BB6" s="141"/>
      <c r="BC6" s="141"/>
      <c r="BD6" s="141"/>
      <c r="BE6" s="136" t="str">
        <f>IF(BE5="","please select!","")</f>
        <v>please select!</v>
      </c>
      <c r="BF6" s="136" t="str">
        <f t="shared" ref="BF6:BH6" si="3">IF(BF5="","please select!","")</f>
        <v>please select!</v>
      </c>
      <c r="BG6" s="136"/>
      <c r="BH6" s="136" t="str">
        <f t="shared" si="3"/>
        <v>please select!</v>
      </c>
      <c r="BI6" s="136" t="str">
        <f>IF(AND(BE5="yes",BI5=""),"please enter!","")</f>
        <v/>
      </c>
      <c r="BJ6" s="151"/>
      <c r="BK6" s="151"/>
      <c r="BL6" s="151"/>
      <c r="BM6" s="151"/>
      <c r="BN6" s="136" t="str">
        <f>IF(BN5="","please enter!","")</f>
        <v>please enter!</v>
      </c>
      <c r="BO6" s="136" t="str">
        <f>IF(AND(BE5="no",BO5=""),"please select!","")</f>
        <v/>
      </c>
      <c r="BP6" s="136" t="str">
        <f>IF(BP5="","please enter!","")</f>
        <v>please enter!</v>
      </c>
      <c r="BQ6" s="151"/>
      <c r="BR6" s="141"/>
      <c r="BS6" s="137" t="str">
        <f>IF(BS5="","please enter!","")</f>
        <v>please enter!</v>
      </c>
      <c r="BT6" s="139" t="str">
        <f>IF(BT5="","please enter!","")</f>
        <v>please enter!</v>
      </c>
      <c r="BU6" s="139" t="str">
        <f>IF(BU5="","please choose!","")</f>
        <v>please choose!</v>
      </c>
      <c r="BV6" s="142" t="str">
        <f>IF(BV5="","please enter!","")</f>
        <v>please enter!</v>
      </c>
      <c r="BW6" s="141"/>
      <c r="BX6" s="141"/>
      <c r="BY6" s="141"/>
      <c r="BZ6" s="141"/>
      <c r="CA6" s="141"/>
      <c r="CB6" s="141"/>
      <c r="CC6" s="143" t="str">
        <f>IF(CC5="","please enter if applicable!","")</f>
        <v>please enter if applicable!</v>
      </c>
      <c r="CD6" s="144" t="str">
        <f>IF(AND(CC5&gt;0,CD5=""),"please enter","")</f>
        <v/>
      </c>
      <c r="CE6" s="145"/>
      <c r="CF6" s="143" t="str">
        <f>IF(AND(CC5&gt;0,CF5=""),"please enter","")</f>
        <v/>
      </c>
      <c r="CG6" s="144" t="str">
        <f>IF(AND(CC5&gt;0,CG5=""),"please enter","")</f>
        <v/>
      </c>
      <c r="CH6" s="141"/>
      <c r="CI6" s="141"/>
      <c r="CJ6" s="141"/>
      <c r="CK6" s="141"/>
      <c r="CL6" s="141"/>
      <c r="CM6" s="141"/>
      <c r="CN6" s="143" t="str">
        <f>IF(CN5="","please enter if applicable!","")</f>
        <v>please enter if applicable!</v>
      </c>
      <c r="CO6" s="144" t="str">
        <f>IF(AND(CN5&gt;0,CO5=""),"please enter","")</f>
        <v/>
      </c>
      <c r="CP6" s="144" t="str">
        <f>IF(AND(CN5&gt;0,CP5=""),"please select","")</f>
        <v/>
      </c>
      <c r="CQ6" s="145"/>
      <c r="CR6" s="143" t="str">
        <f>IF(AND(CN5&gt;0,CR5=""),"please enter","")</f>
        <v/>
      </c>
      <c r="CS6" s="144" t="str">
        <f>IF(AND(CN5&gt;0,CS5=""),"please enter","")</f>
        <v/>
      </c>
      <c r="CT6" s="141"/>
      <c r="CU6" s="141"/>
      <c r="CV6" s="141"/>
      <c r="CW6" s="141"/>
      <c r="CX6" s="141"/>
      <c r="CY6" s="141"/>
      <c r="CZ6" s="141"/>
      <c r="DA6" s="141"/>
      <c r="DB6" s="277"/>
      <c r="DC6" s="136" t="str">
        <f>IF(DC5="","please enter if applicable!","")</f>
        <v>please enter if applicable!</v>
      </c>
      <c r="DD6" s="144" t="str">
        <f>IF(AND(DC5&gt;0,DD5=""),"please enter","")</f>
        <v/>
      </c>
      <c r="DE6" s="144" t="str">
        <f>IF(AND(DC5&gt;0,DE5=""),"please select","")</f>
        <v/>
      </c>
      <c r="DF6" s="145"/>
      <c r="DG6" s="143" t="str">
        <f>IF(AND(DC5&gt;0,DG5=""),"please enter","")</f>
        <v/>
      </c>
      <c r="DH6" s="144" t="str">
        <f>IF(AND(DC5&gt;0,DH5=""),"please enter","")</f>
        <v/>
      </c>
      <c r="DI6" s="141"/>
      <c r="DJ6" s="141"/>
      <c r="DK6" s="141"/>
      <c r="DL6" s="141"/>
      <c r="DM6" s="141"/>
      <c r="DN6" s="141"/>
      <c r="DO6" s="141"/>
      <c r="DP6" s="141"/>
      <c r="DQ6" s="141"/>
      <c r="DR6" s="141"/>
      <c r="DS6" s="141"/>
      <c r="DT6" s="140"/>
      <c r="DU6" s="140"/>
      <c r="DV6" s="136" t="str">
        <f>IF(DV5="","please select!","")</f>
        <v>please select!</v>
      </c>
      <c r="DW6" s="141"/>
      <c r="DX6" s="141"/>
      <c r="DY6" s="141"/>
      <c r="DZ6" s="141"/>
      <c r="EA6" s="141"/>
      <c r="EB6" s="141"/>
      <c r="EC6" s="141"/>
      <c r="ED6" s="136" t="str">
        <f>IF(ED5="","please select!","")</f>
        <v>please select!</v>
      </c>
      <c r="EE6" s="136" t="str">
        <f>IF(AND(ED5="yes",EE5=""),"please select","")</f>
        <v/>
      </c>
      <c r="EF6" s="136" t="str">
        <f>IF(AND(ED5="yes",EF5=""),"please enter","")</f>
        <v/>
      </c>
      <c r="EG6" s="141"/>
      <c r="EH6" s="141"/>
      <c r="EI6" s="136" t="str">
        <f>IF(EI5="","please select!","")</f>
        <v>please select!</v>
      </c>
      <c r="EJ6" s="136" t="str">
        <f>IF(AND(EI5="yes",EJ5=""),"please enter","")</f>
        <v/>
      </c>
      <c r="EK6" s="136" t="str">
        <f>IF(EK5="","please select or enter value!","")</f>
        <v>please select or enter value!</v>
      </c>
      <c r="EL6" s="143" t="str">
        <f>IF(AND(EK5="no auto-off",EL5=""),"","please enter!")</f>
        <v>please enter!</v>
      </c>
      <c r="EM6" s="143" t="str">
        <f>IF(AND(EK5="no auto-off",EM5=""),"","please select!")</f>
        <v>please select!</v>
      </c>
      <c r="EN6" s="141"/>
      <c r="EO6" s="141"/>
      <c r="EP6" s="141"/>
      <c r="EQ6" s="141"/>
      <c r="ER6" s="141"/>
      <c r="ES6" s="141"/>
      <c r="ET6" s="165" t="s">
        <v>33</v>
      </c>
      <c r="EU6" s="168" t="str">
        <f>IF(AND(ET5&gt;0,EU5=""),"please enter","")</f>
        <v/>
      </c>
      <c r="EV6" s="168" t="str">
        <f>IF(AND(ET5&gt;0,EV5=""),"please enter","")</f>
        <v/>
      </c>
      <c r="EW6" s="168" t="str">
        <f>IF(AND(ET5&gt;0,EW5=""),"please enter","")</f>
        <v/>
      </c>
      <c r="EX6" s="140"/>
      <c r="EY6" s="275"/>
      <c r="EZ6" s="165" t="s">
        <v>33</v>
      </c>
      <c r="FA6" s="141"/>
      <c r="FB6" s="141"/>
      <c r="FC6" s="141"/>
      <c r="FD6" s="136" t="str">
        <f>IF(FD5="","please select!","")</f>
        <v>please select!</v>
      </c>
      <c r="FE6" s="140"/>
      <c r="FF6" s="137" t="str">
        <f>IF(AND(FD5="yes",FF5=""),"please enter","")</f>
        <v/>
      </c>
      <c r="FG6" s="137" t="str">
        <f>IF(AND(FD5="yes",FG5=""),"please enter","")</f>
        <v/>
      </c>
      <c r="FH6" s="136" t="str">
        <f>IF(AND(FD5="yes",FH5=""),"please enter","")</f>
        <v/>
      </c>
      <c r="FI6" s="146" t="str">
        <f>IF(AND(FD5="yes",FI5=""),"please enter if 3 devices in test","")</f>
        <v/>
      </c>
      <c r="FJ6" s="146" t="str">
        <f>IF(AND(FD5="yes",FJ5=""),"please enter if 3 devices in test","")</f>
        <v/>
      </c>
      <c r="FK6" s="141"/>
      <c r="FL6" s="141"/>
      <c r="FM6" s="141"/>
      <c r="FN6" s="141"/>
      <c r="FO6" s="141"/>
      <c r="FP6" s="141"/>
      <c r="FQ6" s="141"/>
      <c r="FR6" s="141"/>
      <c r="FS6" s="136" t="str">
        <f>IF(AND(FD5="yes",AD5="colour and monochrome",FS5=""),"please enter","")</f>
        <v/>
      </c>
      <c r="FT6" s="146" t="str">
        <f>IF(AND(FD5="yes",AD5="colour and monochrome",FT5=""),"please enter if 3 devices in test","")</f>
        <v/>
      </c>
      <c r="FU6" s="146" t="str">
        <f>IF(AND(FD5="yes",AD5="colour and monochrome",FU5=""),"please enter if 3 devices in test","")</f>
        <v/>
      </c>
      <c r="FV6" s="141"/>
      <c r="FW6" s="141"/>
      <c r="FX6" s="141"/>
      <c r="FY6" s="141"/>
      <c r="FZ6" s="141"/>
      <c r="GA6" s="141"/>
      <c r="GB6" s="141"/>
      <c r="GC6" s="141"/>
      <c r="GD6" s="141"/>
      <c r="GE6" s="141"/>
      <c r="GF6" s="285"/>
      <c r="GG6" s="285"/>
      <c r="GH6" s="285"/>
      <c r="GI6" s="141"/>
      <c r="GJ6" s="141"/>
      <c r="GK6" s="141"/>
      <c r="GL6" s="339" t="s">
        <v>199</v>
      </c>
      <c r="GM6" s="337" t="s">
        <v>202</v>
      </c>
      <c r="GN6" s="141"/>
      <c r="GO6" s="141"/>
      <c r="GP6" s="141"/>
      <c r="GQ6" s="141"/>
      <c r="GR6" s="141"/>
      <c r="GS6" s="287">
        <f>IF(GJ5="Tischgerät",1,2)</f>
        <v>2</v>
      </c>
      <c r="GT6" s="287">
        <v>10</v>
      </c>
      <c r="GU6" s="287">
        <v>0.05</v>
      </c>
      <c r="GV6" s="288">
        <v>1</v>
      </c>
      <c r="GW6" s="287">
        <v>0.9</v>
      </c>
      <c r="GX6" s="287" t="str">
        <f>IF(AC5="electrophotographic",1.5,"")</f>
        <v/>
      </c>
      <c r="GY6" s="287" t="str">
        <f>IF(AND(AC5="electrophotographic",AD5="only monochrome"),4,"")</f>
        <v/>
      </c>
      <c r="GZ6" s="289" t="str">
        <f>IF(GZ5="","please select or enter value!","")</f>
        <v>please select or enter value!</v>
      </c>
      <c r="HA6" s="290"/>
      <c r="HB6" s="141"/>
      <c r="HC6" s="287">
        <f>IF(GJ5="Tischgerät",1,2)</f>
        <v>2</v>
      </c>
      <c r="HD6" s="287">
        <v>18</v>
      </c>
      <c r="HE6" s="287">
        <v>0.05</v>
      </c>
      <c r="HF6" s="287">
        <v>1.8</v>
      </c>
      <c r="HG6" s="287">
        <v>0.9</v>
      </c>
      <c r="HH6" s="287" t="str">
        <f>IF(AC5="electrophotographic",3,"")</f>
        <v/>
      </c>
      <c r="HI6" s="287" t="str">
        <f>IF(AC5="electrophotographic",4,"")</f>
        <v/>
      </c>
      <c r="HJ6" s="289" t="str">
        <f>IF(HJ5="","please select or enter value!","")</f>
        <v>please select or enter value!</v>
      </c>
      <c r="HK6" s="141"/>
      <c r="HL6" s="141"/>
      <c r="HM6" s="141"/>
      <c r="HN6" s="285"/>
      <c r="HO6" s="285"/>
    </row>
    <row r="7" spans="1:223" s="149" customFormat="1" ht="54.75" customHeight="1">
      <c r="A7" s="278"/>
      <c r="B7" s="278"/>
      <c r="C7" s="278"/>
      <c r="D7" s="278"/>
      <c r="E7" s="278"/>
      <c r="F7" s="278"/>
      <c r="G7" s="278"/>
      <c r="H7" s="278"/>
      <c r="I7" s="278"/>
      <c r="J7" s="278"/>
      <c r="K7" s="278"/>
      <c r="L7" s="280"/>
      <c r="M7" s="152"/>
      <c r="N7" s="280"/>
      <c r="O7" s="280"/>
      <c r="P7" s="280"/>
      <c r="Q7" s="280"/>
      <c r="R7" s="280"/>
      <c r="S7" s="280"/>
      <c r="T7" s="280"/>
      <c r="U7" s="280"/>
      <c r="V7" s="280"/>
      <c r="W7" s="280"/>
      <c r="X7" s="280"/>
      <c r="Y7" s="280"/>
      <c r="Z7" s="280"/>
      <c r="AA7" s="151"/>
      <c r="AB7" s="280"/>
      <c r="AC7" s="280"/>
      <c r="AD7" s="280"/>
      <c r="AE7" s="280"/>
      <c r="AF7" s="280"/>
      <c r="AG7" s="282"/>
      <c r="AH7" s="278"/>
      <c r="AI7" s="150" t="s">
        <v>44</v>
      </c>
      <c r="AJ7" s="150" t="s">
        <v>44</v>
      </c>
      <c r="AK7" s="150" t="s">
        <v>44</v>
      </c>
      <c r="AL7" s="150" t="s">
        <v>44</v>
      </c>
      <c r="AM7" s="278"/>
      <c r="AN7" s="278"/>
      <c r="AO7" s="278"/>
      <c r="AP7" s="151"/>
      <c r="AQ7" s="151"/>
      <c r="AR7" s="151"/>
      <c r="AS7" s="151"/>
      <c r="AT7" s="151"/>
      <c r="AU7" s="151"/>
      <c r="AV7" s="151"/>
      <c r="AW7" s="151"/>
      <c r="AX7" s="151"/>
      <c r="AY7" s="151"/>
      <c r="AZ7" s="151"/>
      <c r="BA7" s="152"/>
      <c r="BB7" s="151"/>
      <c r="BC7" s="151"/>
      <c r="BD7" s="151"/>
      <c r="BE7" s="152"/>
      <c r="BF7" s="151"/>
      <c r="BG7" s="151"/>
      <c r="BH7" s="151"/>
      <c r="BI7" s="151"/>
      <c r="BJ7" s="344" t="s">
        <v>248</v>
      </c>
      <c r="BK7" s="151"/>
      <c r="BL7" s="151"/>
      <c r="BM7" s="344" t="s">
        <v>248</v>
      </c>
      <c r="BN7" s="152"/>
      <c r="BO7" s="152"/>
      <c r="BP7" s="345" t="s">
        <v>249</v>
      </c>
      <c r="BQ7" s="152"/>
      <c r="BR7" s="152"/>
      <c r="BS7" s="284"/>
      <c r="BT7" s="151"/>
      <c r="BV7" s="153" t="s">
        <v>49</v>
      </c>
      <c r="BW7" s="285"/>
      <c r="BX7" s="285"/>
      <c r="BY7" s="285"/>
      <c r="BZ7" s="285"/>
      <c r="CA7" s="285"/>
      <c r="CB7" s="285"/>
      <c r="CC7" s="153" t="s">
        <v>49</v>
      </c>
      <c r="CD7" s="152"/>
      <c r="CE7" s="152"/>
      <c r="CF7" s="152"/>
      <c r="CG7" s="152"/>
      <c r="CH7" s="152"/>
      <c r="CI7" s="152"/>
      <c r="CJ7" s="152"/>
      <c r="CK7" s="152"/>
      <c r="CL7" s="152"/>
      <c r="CN7" s="153" t="s">
        <v>49</v>
      </c>
      <c r="CO7" s="152"/>
      <c r="CP7" s="152"/>
      <c r="CQ7" s="152"/>
      <c r="CR7" s="152"/>
      <c r="CS7" s="152"/>
      <c r="CT7" s="152"/>
      <c r="CU7" s="152"/>
      <c r="CV7" s="152"/>
      <c r="CW7" s="152"/>
      <c r="CX7" s="152"/>
      <c r="CY7" s="152"/>
      <c r="CZ7" s="152"/>
      <c r="DA7" s="152"/>
      <c r="DB7" s="63"/>
      <c r="DC7" s="153" t="s">
        <v>49</v>
      </c>
      <c r="DD7" s="152"/>
      <c r="DE7" s="152"/>
      <c r="DF7" s="152"/>
      <c r="DG7" s="152"/>
      <c r="DH7" s="152"/>
      <c r="DI7" s="152"/>
      <c r="DJ7" s="152"/>
      <c r="DK7" s="152"/>
      <c r="DL7" s="152"/>
      <c r="DM7" s="152"/>
      <c r="DN7" s="152"/>
      <c r="DO7" s="152"/>
      <c r="DP7" s="152"/>
      <c r="DQ7" s="152"/>
      <c r="DR7" s="152"/>
      <c r="DS7" s="152"/>
      <c r="DT7" s="151"/>
      <c r="DU7" s="151"/>
      <c r="DV7" s="151"/>
      <c r="DW7" s="152"/>
      <c r="DX7" s="152"/>
      <c r="DY7" s="152"/>
      <c r="DZ7" s="152"/>
      <c r="EA7" s="152"/>
      <c r="EB7" s="152"/>
      <c r="EC7" s="275"/>
      <c r="ED7" s="153" t="s">
        <v>49</v>
      </c>
      <c r="EE7" s="286"/>
      <c r="EF7" s="286"/>
      <c r="EG7" s="152"/>
      <c r="EH7" s="275"/>
      <c r="EI7" s="153" t="s">
        <v>49</v>
      </c>
      <c r="EJ7" s="151"/>
      <c r="EK7" s="135"/>
      <c r="EL7" s="153" t="s">
        <v>312</v>
      </c>
      <c r="EM7" s="278"/>
      <c r="EN7" s="286"/>
      <c r="EO7" s="286"/>
      <c r="EP7" s="286"/>
      <c r="EQ7" s="286"/>
      <c r="ER7" s="286"/>
      <c r="ES7" s="275"/>
      <c r="ET7" s="153" t="s">
        <v>49</v>
      </c>
      <c r="EU7" s="152"/>
      <c r="EV7" s="152"/>
      <c r="EW7" s="152"/>
      <c r="EX7" s="152"/>
      <c r="EY7" s="275"/>
      <c r="EZ7" s="153" t="s">
        <v>49</v>
      </c>
      <c r="FA7" s="152"/>
      <c r="FB7" s="152"/>
      <c r="FC7" s="152"/>
      <c r="FD7" s="152"/>
      <c r="FE7" s="152"/>
      <c r="FF7" s="152"/>
      <c r="FG7" s="152"/>
      <c r="FH7" s="152"/>
      <c r="FI7" s="152"/>
      <c r="FJ7" s="152"/>
      <c r="FK7" s="152"/>
      <c r="FL7" s="152"/>
      <c r="FM7" s="152"/>
      <c r="FN7" s="152"/>
      <c r="FO7" s="152"/>
      <c r="FP7" s="152"/>
      <c r="FQ7" s="152"/>
      <c r="FR7" s="152"/>
      <c r="FS7" s="152"/>
      <c r="FT7" s="152"/>
      <c r="FU7" s="152"/>
      <c r="FV7" s="152"/>
      <c r="FW7" s="152"/>
      <c r="FX7" s="152"/>
      <c r="FY7" s="152"/>
      <c r="FZ7" s="152"/>
      <c r="GA7" s="152"/>
      <c r="GB7" s="152"/>
      <c r="GC7" s="152"/>
      <c r="GD7" s="152"/>
      <c r="GE7" s="152"/>
      <c r="GF7" s="280"/>
      <c r="GG7" s="280"/>
      <c r="GH7" s="152"/>
      <c r="GI7" s="152"/>
      <c r="GJ7" s="152"/>
      <c r="GK7" s="152"/>
      <c r="GL7" s="340"/>
      <c r="GM7" s="337"/>
      <c r="GN7" s="152"/>
      <c r="GO7" s="152"/>
      <c r="GP7" s="152"/>
      <c r="GQ7" s="152"/>
      <c r="GR7" s="152"/>
      <c r="GS7" s="152"/>
      <c r="GT7" s="152"/>
      <c r="GU7" s="152"/>
      <c r="GV7" s="152"/>
      <c r="GW7" s="152"/>
      <c r="GX7" s="152"/>
      <c r="GY7" s="152"/>
      <c r="GZ7" s="152"/>
      <c r="HA7" s="152"/>
      <c r="HB7" s="152"/>
      <c r="HC7" s="152"/>
      <c r="HD7" s="291" t="str">
        <f>IF($GO5="Prüfung nur für Farbdruck",10,"")</f>
        <v/>
      </c>
      <c r="HE7" s="152"/>
      <c r="HF7" s="292" t="str">
        <f>IF($GO5="Prüfung nur für Farbdruck",1,"")</f>
        <v/>
      </c>
      <c r="HG7" s="152"/>
      <c r="HH7" s="291" t="str">
        <f>IF($GO5="Prüfung nur für Farbdruck",1.5,"")</f>
        <v/>
      </c>
      <c r="HI7" s="152"/>
      <c r="HJ7" s="152"/>
      <c r="HK7" s="152"/>
      <c r="HL7" s="152"/>
      <c r="HM7" s="152"/>
      <c r="HN7" s="152"/>
      <c r="HO7" s="152"/>
    </row>
    <row r="8" spans="1:223" s="149" customFormat="1" ht="42.75" customHeight="1">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7" t="s">
        <v>222</v>
      </c>
      <c r="AJ8" s="28"/>
      <c r="AK8" s="28"/>
      <c r="AL8" s="28"/>
      <c r="AM8" s="152"/>
      <c r="AN8" s="152"/>
      <c r="AO8" s="152"/>
      <c r="AP8" s="152"/>
      <c r="AQ8" s="152"/>
      <c r="AR8" s="152"/>
      <c r="AS8" s="154"/>
      <c r="AT8" s="152"/>
      <c r="AU8" s="152"/>
      <c r="AV8" s="152"/>
      <c r="AW8" s="152"/>
      <c r="AX8" s="152"/>
      <c r="AY8" s="152"/>
      <c r="AZ8" s="152"/>
      <c r="BA8" s="152"/>
      <c r="BB8" s="152"/>
      <c r="BC8" s="152"/>
      <c r="BD8" s="152"/>
      <c r="BE8" s="152"/>
      <c r="BF8" s="151"/>
      <c r="BG8" s="151"/>
      <c r="BH8" s="151"/>
      <c r="BI8" s="151"/>
      <c r="BJ8" s="344"/>
      <c r="BK8" s="151"/>
      <c r="BL8" s="151"/>
      <c r="BM8" s="344"/>
      <c r="BN8" s="152"/>
      <c r="BO8" s="152"/>
      <c r="BP8" s="345"/>
      <c r="BQ8" s="152"/>
      <c r="BR8" s="152"/>
      <c r="BS8" s="152"/>
      <c r="BT8" s="152"/>
      <c r="BU8" s="155" t="str">
        <f>IF(BV5&gt;0,"please enter!","")</f>
        <v/>
      </c>
      <c r="BV8" s="198"/>
      <c r="BW8" s="285"/>
      <c r="BX8" s="285"/>
      <c r="BY8" s="285"/>
      <c r="BZ8" s="285"/>
      <c r="CA8" s="285"/>
      <c r="CB8" s="156" t="str">
        <f>IF(CC5&gt;0,"please enter!","")</f>
        <v/>
      </c>
      <c r="CC8" s="55"/>
      <c r="CD8" s="152"/>
      <c r="CE8" s="152"/>
      <c r="CF8" s="152"/>
      <c r="CG8" s="152"/>
      <c r="CH8" s="152"/>
      <c r="CI8" s="152"/>
      <c r="CJ8" s="152"/>
      <c r="CK8" s="152"/>
      <c r="CL8" s="152"/>
      <c r="CM8" s="156" t="str">
        <f>IF(CN5&gt;0,"please enter!","")</f>
        <v/>
      </c>
      <c r="CN8" s="55"/>
      <c r="CO8" s="152"/>
      <c r="CP8" s="152"/>
      <c r="CQ8" s="152"/>
      <c r="CR8" s="152"/>
      <c r="CS8" s="152"/>
      <c r="CT8" s="152"/>
      <c r="CU8" s="152"/>
      <c r="CV8" s="152"/>
      <c r="CW8" s="152"/>
      <c r="CX8" s="152"/>
      <c r="CY8" s="152"/>
      <c r="CZ8" s="152"/>
      <c r="DA8" s="152"/>
      <c r="DB8" s="157" t="str">
        <f>IF(DC5&gt;0,"please enter!","")</f>
        <v/>
      </c>
      <c r="DC8" s="29"/>
      <c r="DD8" s="152"/>
      <c r="DE8" s="152"/>
      <c r="DF8" s="152"/>
      <c r="DG8" s="152"/>
      <c r="DH8" s="152"/>
      <c r="DI8" s="152"/>
      <c r="DJ8" s="152"/>
      <c r="DK8" s="152"/>
      <c r="DL8" s="152"/>
      <c r="DM8" s="152"/>
      <c r="DN8" s="152"/>
      <c r="DO8" s="152"/>
      <c r="DP8" s="152"/>
      <c r="DQ8" s="152"/>
      <c r="DR8" s="152"/>
      <c r="DS8" s="152"/>
      <c r="DT8" s="152"/>
      <c r="DU8" s="152"/>
      <c r="DV8" s="152"/>
      <c r="DW8" s="152"/>
      <c r="DX8" s="152"/>
      <c r="DY8" s="152"/>
      <c r="DZ8" s="152"/>
      <c r="EA8" s="152"/>
      <c r="EC8" s="156" t="str">
        <f>IF(ED5&gt;0,"please enter!","")</f>
        <v/>
      </c>
      <c r="ED8" s="55"/>
      <c r="EE8" s="152"/>
      <c r="EF8" s="152"/>
      <c r="EG8" s="152"/>
      <c r="EH8" s="156" t="str">
        <f>IF(EI5&gt;0,"please enter!","")</f>
        <v/>
      </c>
      <c r="EI8" s="55"/>
      <c r="EJ8" s="152"/>
      <c r="EK8" s="244" t="str">
        <f>IF(EL5&gt;0,"please select!","")</f>
        <v/>
      </c>
      <c r="EL8" s="31"/>
      <c r="EM8" s="152"/>
      <c r="EN8" s="152"/>
      <c r="EO8" s="152"/>
      <c r="EP8" s="152"/>
      <c r="EQ8" s="152"/>
      <c r="ER8" s="152"/>
      <c r="ES8" s="157" t="str">
        <f>IF(ET5&gt;0,"please enter!","")</f>
        <v/>
      </c>
      <c r="ET8" s="29"/>
      <c r="EU8" s="152"/>
      <c r="EV8" s="152"/>
      <c r="EW8" s="152"/>
      <c r="EX8" s="152"/>
      <c r="EY8" s="157" t="str">
        <f>IF(EZ5&gt;0,"please enter!","")</f>
        <v/>
      </c>
      <c r="EZ8" s="29"/>
      <c r="FA8" s="152"/>
      <c r="FB8" s="152"/>
      <c r="FC8" s="152"/>
      <c r="FD8" s="152"/>
      <c r="FE8" s="152"/>
      <c r="FF8" s="152"/>
      <c r="FG8" s="152"/>
      <c r="FH8" s="152"/>
      <c r="FI8" s="152"/>
      <c r="FJ8" s="152"/>
      <c r="FK8" s="152"/>
      <c r="FL8" s="152"/>
      <c r="FM8" s="152"/>
      <c r="FN8" s="152"/>
      <c r="FO8" s="152"/>
      <c r="FP8" s="152"/>
      <c r="FQ8" s="152"/>
      <c r="FR8" s="152"/>
      <c r="FS8" s="152"/>
      <c r="FT8" s="152"/>
      <c r="FU8" s="152"/>
      <c r="FV8" s="152"/>
      <c r="FW8" s="152"/>
      <c r="FX8" s="152"/>
      <c r="FY8" s="152"/>
      <c r="FZ8" s="152"/>
      <c r="GA8" s="152"/>
      <c r="GB8" s="152"/>
      <c r="GC8" s="152"/>
      <c r="GD8" s="152"/>
      <c r="GE8" s="152"/>
      <c r="GF8" s="152"/>
      <c r="GG8" s="152"/>
      <c r="GH8" s="152"/>
      <c r="GI8" s="152"/>
      <c r="GJ8" s="152"/>
      <c r="GK8" s="152"/>
      <c r="GL8" s="152"/>
      <c r="GM8" s="337"/>
      <c r="GN8" s="152"/>
      <c r="GO8" s="152"/>
      <c r="GP8" s="152"/>
      <c r="GQ8" s="152"/>
      <c r="GR8" s="152"/>
      <c r="GS8" s="152"/>
      <c r="GT8" s="152"/>
      <c r="GU8" s="152"/>
      <c r="GV8" s="152"/>
      <c r="GW8" s="152"/>
      <c r="GX8" s="152"/>
      <c r="GY8" s="152"/>
      <c r="GZ8" s="152"/>
      <c r="HA8" s="152"/>
      <c r="HB8" s="152"/>
      <c r="HC8" s="152"/>
      <c r="HD8" s="152"/>
      <c r="HE8" s="152"/>
      <c r="HF8" s="152"/>
      <c r="HG8" s="152"/>
      <c r="HH8" s="152"/>
      <c r="HI8" s="152"/>
      <c r="HJ8" s="152"/>
      <c r="HK8" s="152"/>
      <c r="HL8" s="152"/>
      <c r="HM8" s="152"/>
      <c r="HN8" s="152"/>
      <c r="HO8" s="152"/>
    </row>
    <row r="9" spans="1:223" s="149" customFormat="1" ht="51">
      <c r="A9" s="152"/>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4"/>
      <c r="AJ9" s="152"/>
      <c r="AK9" s="152"/>
      <c r="AL9" s="152"/>
      <c r="AM9" s="152"/>
      <c r="AN9" s="152"/>
      <c r="AO9" s="152"/>
      <c r="AP9" s="152"/>
      <c r="AQ9" s="152"/>
      <c r="AR9" s="152"/>
      <c r="AS9" s="152"/>
      <c r="AT9" s="152"/>
      <c r="AU9" s="152"/>
      <c r="AV9" s="152"/>
      <c r="AW9" s="152"/>
      <c r="AX9" s="152"/>
      <c r="AY9" s="152"/>
      <c r="AZ9" s="152"/>
      <c r="BA9" s="152"/>
      <c r="BB9" s="152"/>
      <c r="BC9" s="152"/>
      <c r="BD9" s="152"/>
      <c r="BE9" s="152"/>
      <c r="BF9" s="151"/>
      <c r="BG9" s="151"/>
      <c r="BH9" s="151"/>
      <c r="BI9" s="152"/>
      <c r="BJ9" s="266" t="str">
        <f>BJ5</f>
        <v/>
      </c>
      <c r="BK9" s="151"/>
      <c r="BL9" s="151"/>
      <c r="BM9" s="266" t="str">
        <f>BM5</f>
        <v/>
      </c>
      <c r="BN9" s="152"/>
      <c r="BO9" s="152"/>
      <c r="BP9" s="266">
        <f>BP5</f>
        <v>0</v>
      </c>
      <c r="BQ9" s="152"/>
      <c r="BR9" s="152"/>
      <c r="BS9" s="152"/>
      <c r="BT9" s="152"/>
      <c r="BU9" s="158"/>
      <c r="BV9" s="153" t="s">
        <v>118</v>
      </c>
      <c r="BW9" s="285"/>
      <c r="BX9" s="285"/>
      <c r="BY9" s="285"/>
      <c r="BZ9" s="285"/>
      <c r="CA9" s="285"/>
      <c r="CB9" s="135"/>
      <c r="CC9" s="153" t="s">
        <v>118</v>
      </c>
      <c r="CD9" s="152"/>
      <c r="CE9" s="152"/>
      <c r="CF9" s="152"/>
      <c r="CG9" s="152"/>
      <c r="CH9" s="152"/>
      <c r="CI9" s="152"/>
      <c r="CJ9" s="152"/>
      <c r="CK9" s="152"/>
      <c r="CL9" s="152"/>
      <c r="CM9" s="135"/>
      <c r="CN9" s="153" t="s">
        <v>118</v>
      </c>
      <c r="CO9" s="152"/>
      <c r="CP9" s="152"/>
      <c r="CQ9" s="152"/>
      <c r="CR9" s="152"/>
      <c r="CS9" s="152"/>
      <c r="CT9" s="152"/>
      <c r="CU9" s="152"/>
      <c r="CV9" s="152"/>
      <c r="CW9" s="152"/>
      <c r="CX9" s="152"/>
      <c r="CY9" s="152"/>
      <c r="CZ9" s="152"/>
      <c r="DA9" s="152"/>
      <c r="DB9" s="159"/>
      <c r="DC9" s="153" t="s">
        <v>118</v>
      </c>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C9" s="135"/>
      <c r="ED9" s="153" t="s">
        <v>118</v>
      </c>
      <c r="EE9" s="152"/>
      <c r="EF9" s="152"/>
      <c r="EG9" s="152"/>
      <c r="EH9" s="135"/>
      <c r="EI9" s="153" t="s">
        <v>118</v>
      </c>
      <c r="EJ9" s="152"/>
      <c r="EK9" s="152"/>
      <c r="EL9" s="152"/>
      <c r="EM9" s="152"/>
      <c r="EN9" s="152"/>
      <c r="EO9" s="152"/>
      <c r="EP9" s="152"/>
      <c r="EQ9" s="152"/>
      <c r="ER9" s="152"/>
      <c r="ES9" s="159"/>
      <c r="ET9" s="153" t="s">
        <v>118</v>
      </c>
      <c r="EU9" s="152"/>
      <c r="EV9" s="152"/>
      <c r="EW9" s="152"/>
      <c r="EX9" s="152"/>
      <c r="EY9" s="159"/>
      <c r="EZ9" s="153" t="s">
        <v>118</v>
      </c>
      <c r="FA9" s="152"/>
      <c r="FB9" s="152"/>
      <c r="FC9" s="152"/>
      <c r="FD9" s="152"/>
      <c r="FE9" s="152"/>
      <c r="FF9" s="152"/>
      <c r="FG9" s="152"/>
      <c r="FH9" s="152"/>
      <c r="FI9" s="152"/>
      <c r="FJ9" s="152"/>
      <c r="FK9" s="152"/>
      <c r="FL9" s="152"/>
      <c r="FM9" s="152"/>
      <c r="FN9" s="152"/>
      <c r="FO9" s="152"/>
      <c r="FP9" s="152"/>
      <c r="FQ9" s="152"/>
      <c r="FR9" s="152"/>
      <c r="FS9" s="152"/>
      <c r="FT9" s="152"/>
      <c r="FU9" s="152"/>
      <c r="FV9" s="152"/>
      <c r="FW9" s="152"/>
      <c r="FX9" s="152"/>
      <c r="FY9" s="152"/>
      <c r="FZ9" s="152"/>
      <c r="GA9" s="152"/>
      <c r="GB9" s="152"/>
      <c r="GC9" s="152"/>
      <c r="GD9" s="152"/>
      <c r="GE9" s="152"/>
      <c r="GF9" s="152"/>
      <c r="GG9" s="152"/>
      <c r="GH9" s="152"/>
      <c r="GI9" s="152"/>
      <c r="GJ9" s="152"/>
      <c r="GK9" s="152"/>
      <c r="GL9" s="152"/>
      <c r="GM9" s="338"/>
      <c r="GN9" s="152"/>
      <c r="GO9" s="152"/>
      <c r="GP9" s="152"/>
      <c r="GQ9" s="152"/>
      <c r="GR9" s="152"/>
      <c r="GS9" s="152"/>
      <c r="GT9" s="152"/>
      <c r="GU9" s="152"/>
      <c r="GV9" s="152"/>
      <c r="GW9" s="152" t="s">
        <v>331</v>
      </c>
      <c r="GX9" s="152"/>
      <c r="GY9" s="152"/>
      <c r="GZ9" s="152"/>
      <c r="HA9" s="152"/>
      <c r="HB9" s="152"/>
      <c r="HC9" s="152"/>
      <c r="HD9" s="152"/>
      <c r="HE9" s="152"/>
      <c r="HF9" s="152"/>
      <c r="HG9" s="152"/>
      <c r="HH9" s="152"/>
      <c r="HI9" s="152"/>
      <c r="HJ9" s="152"/>
      <c r="HK9" s="152"/>
      <c r="HL9" s="152"/>
      <c r="HM9" s="152"/>
      <c r="HN9" s="152"/>
      <c r="HO9" s="152"/>
    </row>
    <row r="10" spans="1:223" s="149" customFormat="1" ht="24.95" customHeight="1">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c r="BI10" s="152"/>
      <c r="BJ10" s="152"/>
      <c r="BK10" s="152"/>
      <c r="BL10" s="152"/>
      <c r="BM10" s="152"/>
      <c r="BN10" s="152"/>
      <c r="BO10" s="152"/>
      <c r="BP10" s="152"/>
      <c r="BQ10" s="152"/>
      <c r="BR10" s="152"/>
      <c r="BS10" s="152"/>
      <c r="BT10" s="152"/>
      <c r="BU10" s="155" t="str">
        <f>IF(BV5&gt;0,"please enter!","")</f>
        <v/>
      </c>
      <c r="BV10" s="198"/>
      <c r="BW10" s="285"/>
      <c r="BX10" s="285"/>
      <c r="BY10" s="285"/>
      <c r="BZ10" s="285"/>
      <c r="CA10" s="285"/>
      <c r="CB10" s="156" t="str">
        <f>IF(CC5&gt;0,"please enter!","")</f>
        <v/>
      </c>
      <c r="CC10" s="55"/>
      <c r="CD10" s="152"/>
      <c r="CE10" s="152"/>
      <c r="CF10" s="152"/>
      <c r="CG10" s="152"/>
      <c r="CH10" s="152"/>
      <c r="CI10" s="152"/>
      <c r="CJ10" s="152"/>
      <c r="CK10" s="152"/>
      <c r="CL10" s="152"/>
      <c r="CM10" s="156" t="str">
        <f>IF(CN5&gt;0,"please enter!","")</f>
        <v/>
      </c>
      <c r="CN10" s="55"/>
      <c r="CO10" s="152"/>
      <c r="CP10" s="152"/>
      <c r="CQ10" s="152"/>
      <c r="CR10" s="152"/>
      <c r="CS10" s="152"/>
      <c r="CT10" s="152"/>
      <c r="CU10" s="152"/>
      <c r="CV10" s="152"/>
      <c r="CW10" s="152"/>
      <c r="CX10" s="152"/>
      <c r="CY10" s="152"/>
      <c r="CZ10" s="152"/>
      <c r="DA10" s="152"/>
      <c r="DB10" s="157" t="str">
        <f>IF(DC5&gt;0,"please enter!","")</f>
        <v/>
      </c>
      <c r="DC10" s="29"/>
      <c r="DD10" s="152"/>
      <c r="DE10" s="152"/>
      <c r="DF10" s="152"/>
      <c r="DG10" s="152"/>
      <c r="DH10" s="152"/>
      <c r="DI10" s="152"/>
      <c r="DJ10" s="152"/>
      <c r="DK10" s="152"/>
      <c r="DL10" s="152"/>
      <c r="DM10" s="152"/>
      <c r="DN10" s="152"/>
      <c r="DO10" s="152"/>
      <c r="DP10" s="152"/>
      <c r="DQ10" s="152"/>
      <c r="DR10" s="152"/>
      <c r="DS10" s="152"/>
      <c r="DT10" s="152"/>
      <c r="DU10" s="152"/>
      <c r="DV10" s="152"/>
      <c r="DW10" s="152"/>
      <c r="DX10" s="152"/>
      <c r="DY10" s="152"/>
      <c r="DZ10" s="152"/>
      <c r="EA10" s="152"/>
      <c r="EC10" s="156" t="str">
        <f>IF(ED5&gt;0,"please enter!","")</f>
        <v/>
      </c>
      <c r="ED10" s="55"/>
      <c r="EE10" s="152"/>
      <c r="EF10" s="152"/>
      <c r="EG10" s="152"/>
      <c r="EH10" s="156" t="str">
        <f>IF(EI5&gt;0,"please enter!","")</f>
        <v/>
      </c>
      <c r="EI10" s="55"/>
      <c r="EJ10" s="152"/>
      <c r="EK10" s="152"/>
      <c r="EL10" s="152"/>
      <c r="EM10" s="152"/>
      <c r="EN10" s="152"/>
      <c r="EO10" s="152"/>
      <c r="EP10" s="152"/>
      <c r="EQ10" s="152"/>
      <c r="ER10" s="152"/>
      <c r="ES10" s="157" t="str">
        <f>IF(ET5&gt;0,"please enter!","")</f>
        <v/>
      </c>
      <c r="ET10" s="29"/>
      <c r="EU10" s="152"/>
      <c r="EV10" s="152"/>
      <c r="EW10" s="152"/>
      <c r="EX10" s="152"/>
      <c r="EY10" s="157" t="str">
        <f>IF(EZ5&gt;0,"please enter!","")</f>
        <v/>
      </c>
      <c r="EZ10" s="29"/>
      <c r="FA10" s="152"/>
      <c r="FB10" s="152"/>
      <c r="FC10" s="152"/>
      <c r="FD10" s="152"/>
      <c r="FE10" s="152"/>
      <c r="FF10" s="152"/>
      <c r="FG10" s="152"/>
      <c r="FH10" s="152"/>
      <c r="FI10" s="152"/>
      <c r="FJ10" s="152"/>
      <c r="FK10" s="152"/>
      <c r="FL10" s="152"/>
      <c r="FM10" s="152"/>
      <c r="FN10" s="152"/>
      <c r="FO10" s="152"/>
      <c r="FP10" s="152"/>
      <c r="FQ10" s="152"/>
      <c r="FR10" s="152"/>
      <c r="FS10" s="152"/>
      <c r="FT10" s="152"/>
      <c r="FU10" s="152"/>
      <c r="FV10" s="152"/>
      <c r="FW10" s="152"/>
      <c r="FX10" s="152"/>
      <c r="FY10" s="152"/>
      <c r="FZ10" s="152"/>
      <c r="GA10" s="152"/>
      <c r="GB10" s="152"/>
      <c r="GC10" s="152"/>
      <c r="GD10" s="152"/>
      <c r="GE10" s="152"/>
      <c r="GF10" s="152"/>
      <c r="GG10" s="152"/>
      <c r="GH10" s="152"/>
      <c r="GI10" s="152"/>
      <c r="GJ10" s="152"/>
      <c r="GK10" s="152"/>
      <c r="GL10" s="152"/>
      <c r="GM10" s="152"/>
      <c r="GN10" s="152"/>
      <c r="GO10" s="152"/>
      <c r="GP10" s="152"/>
      <c r="GQ10" s="152"/>
      <c r="GR10" s="152"/>
      <c r="GS10" s="152"/>
      <c r="GT10" s="152"/>
      <c r="GU10" s="152"/>
      <c r="GV10" s="152"/>
      <c r="GW10" s="285" t="s">
        <v>332</v>
      </c>
      <c r="GX10" s="285"/>
      <c r="GY10" s="285"/>
      <c r="GZ10" s="285"/>
      <c r="HA10" s="285"/>
      <c r="HB10" s="285"/>
      <c r="HC10" s="285"/>
      <c r="HD10" s="152"/>
      <c r="HE10" s="152"/>
      <c r="HF10" s="152"/>
      <c r="HG10" s="152"/>
      <c r="HH10" s="152"/>
      <c r="HI10" s="152"/>
      <c r="HJ10" s="152"/>
      <c r="HK10" s="152"/>
      <c r="HL10" s="152"/>
      <c r="HM10" s="152"/>
      <c r="HN10" s="152"/>
      <c r="HO10" s="152"/>
    </row>
    <row r="11" spans="1:223" s="149" customFormat="1" ht="48" customHeight="1">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c r="BI11" s="152"/>
      <c r="BJ11" s="152"/>
      <c r="BK11" s="152"/>
      <c r="BL11" s="152"/>
      <c r="BM11" s="152"/>
      <c r="BN11" s="152"/>
      <c r="BO11" s="152"/>
      <c r="BP11" s="152"/>
      <c r="BQ11" s="152"/>
      <c r="BR11" s="152"/>
      <c r="BS11" s="152"/>
      <c r="BT11" s="152"/>
      <c r="BU11" s="148"/>
      <c r="BV11" s="160" t="s">
        <v>160</v>
      </c>
      <c r="BW11" s="285"/>
      <c r="BX11" s="285"/>
      <c r="BY11" s="285"/>
      <c r="BZ11" s="285"/>
      <c r="CA11" s="285"/>
      <c r="CB11" s="161"/>
      <c r="CC11" s="160" t="s">
        <v>160</v>
      </c>
      <c r="CD11" s="152"/>
      <c r="CE11" s="152"/>
      <c r="CF11" s="152"/>
      <c r="CG11" s="152"/>
      <c r="CH11" s="152"/>
      <c r="CI11" s="152"/>
      <c r="CJ11" s="152"/>
      <c r="CK11" s="152"/>
      <c r="CL11" s="152"/>
      <c r="CM11" s="161"/>
      <c r="CN11" s="160" t="s">
        <v>160</v>
      </c>
      <c r="CO11" s="152"/>
      <c r="CP11" s="152"/>
      <c r="CQ11" s="152"/>
      <c r="CR11" s="152"/>
      <c r="CS11" s="152"/>
      <c r="CT11" s="152"/>
      <c r="CU11" s="152"/>
      <c r="CV11" s="152"/>
      <c r="CW11" s="152"/>
      <c r="CX11" s="152"/>
      <c r="CY11" s="152"/>
      <c r="CZ11" s="152"/>
      <c r="DA11" s="152"/>
      <c r="DB11" s="162"/>
      <c r="DC11" s="160" t="s">
        <v>160</v>
      </c>
      <c r="DD11" s="152"/>
      <c r="DE11" s="152"/>
      <c r="DF11" s="152"/>
      <c r="DG11" s="152"/>
      <c r="DH11" s="152"/>
      <c r="DI11" s="152"/>
      <c r="DJ11" s="152"/>
      <c r="DK11" s="152"/>
      <c r="DL11" s="152"/>
      <c r="DM11" s="152"/>
      <c r="DN11" s="152"/>
      <c r="DO11" s="152"/>
      <c r="DP11" s="152"/>
      <c r="DQ11" s="152"/>
      <c r="DR11" s="152"/>
      <c r="DS11" s="152"/>
      <c r="DT11" s="152"/>
      <c r="DU11" s="152"/>
      <c r="DV11" s="152"/>
      <c r="DW11" s="152"/>
      <c r="DX11" s="152"/>
      <c r="DY11" s="152"/>
      <c r="DZ11" s="152"/>
      <c r="EA11" s="152"/>
      <c r="EE11" s="152"/>
      <c r="EF11" s="152"/>
      <c r="EG11" s="152"/>
      <c r="EH11" s="152"/>
      <c r="EI11" s="152"/>
      <c r="EJ11" s="152"/>
      <c r="EK11" s="152"/>
      <c r="EL11" s="152"/>
      <c r="EM11" s="152"/>
      <c r="EN11" s="152"/>
      <c r="EO11" s="152"/>
      <c r="EP11" s="152"/>
      <c r="EQ11" s="152"/>
      <c r="ER11" s="152"/>
      <c r="ES11" s="162"/>
      <c r="ET11" s="160" t="s">
        <v>160</v>
      </c>
      <c r="EU11" s="152"/>
      <c r="EV11" s="152"/>
      <c r="EW11" s="152"/>
      <c r="EX11" s="152"/>
      <c r="EY11" s="162"/>
      <c r="EZ11" s="160" t="s">
        <v>160</v>
      </c>
      <c r="FA11" s="152"/>
      <c r="FB11" s="152"/>
      <c r="FC11" s="152"/>
      <c r="FD11" s="152"/>
      <c r="FE11" s="152"/>
      <c r="FF11" s="152"/>
      <c r="FG11" s="152"/>
      <c r="FH11" s="152"/>
      <c r="FI11" s="152"/>
      <c r="FJ11" s="152"/>
      <c r="FK11" s="152"/>
      <c r="FL11" s="152"/>
      <c r="FM11" s="152"/>
      <c r="FN11" s="152"/>
      <c r="FO11" s="152"/>
      <c r="FP11" s="152"/>
      <c r="FQ11" s="152"/>
      <c r="FR11" s="152"/>
      <c r="FS11" s="152"/>
      <c r="FT11" s="152"/>
      <c r="FU11" s="152"/>
      <c r="FV11" s="152"/>
      <c r="FW11" s="152"/>
      <c r="FX11" s="152"/>
      <c r="FY11" s="152"/>
      <c r="FZ11" s="152"/>
      <c r="GA11" s="152"/>
      <c r="GB11" s="152"/>
      <c r="GC11" s="152"/>
      <c r="GD11" s="152"/>
      <c r="GE11" s="152"/>
      <c r="GF11" s="152"/>
      <c r="GG11" s="152"/>
      <c r="GH11" s="152"/>
      <c r="GI11" s="152"/>
      <c r="GJ11" s="152"/>
      <c r="GK11" s="152"/>
      <c r="GL11" s="152"/>
      <c r="GM11" s="152"/>
      <c r="GN11" s="152"/>
      <c r="GO11" s="152"/>
      <c r="GP11" s="152"/>
      <c r="GQ11" s="152"/>
      <c r="GR11" s="152"/>
      <c r="GS11" s="152"/>
      <c r="GT11" s="152"/>
      <c r="GU11" s="152"/>
      <c r="GV11" s="152"/>
      <c r="GW11" s="293" t="s">
        <v>333</v>
      </c>
      <c r="GX11" s="293"/>
      <c r="GY11" s="293"/>
      <c r="GZ11" s="293"/>
      <c r="HA11" s="293"/>
      <c r="HB11" s="293"/>
      <c r="HC11" s="293"/>
      <c r="HD11" s="152"/>
      <c r="HE11" s="152"/>
      <c r="HF11" s="152"/>
      <c r="HG11" s="152"/>
      <c r="HH11" s="152"/>
      <c r="HI11" s="152"/>
      <c r="HJ11" s="152"/>
      <c r="HK11" s="152"/>
      <c r="HL11" s="152"/>
      <c r="HM11" s="152"/>
      <c r="HN11" s="152"/>
      <c r="HO11" s="152"/>
    </row>
    <row r="12" spans="1:223" s="149" customFormat="1" ht="24.95" customHeight="1">
      <c r="A12" s="152"/>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152"/>
      <c r="BR12" s="152"/>
      <c r="BS12" s="152"/>
      <c r="BT12" s="152"/>
      <c r="BU12" s="155" t="str">
        <f>IF(BV5&gt;0,"please enter!","")</f>
        <v/>
      </c>
      <c r="BV12" s="18"/>
      <c r="BW12" s="285"/>
      <c r="BX12" s="285"/>
      <c r="BY12" s="285"/>
      <c r="BZ12" s="285"/>
      <c r="CA12" s="285"/>
      <c r="CB12" s="156" t="str">
        <f>IF(CC5&gt;0,"please enter!","")</f>
        <v/>
      </c>
      <c r="CC12" s="30"/>
      <c r="CD12" s="152"/>
      <c r="CE12" s="152"/>
      <c r="CF12" s="152"/>
      <c r="CG12" s="152"/>
      <c r="CH12" s="152"/>
      <c r="CI12" s="152"/>
      <c r="CJ12" s="152"/>
      <c r="CK12" s="152"/>
      <c r="CL12" s="152"/>
      <c r="CM12" s="156" t="str">
        <f>IF(CN5&gt;0,"please enter!","")</f>
        <v/>
      </c>
      <c r="CN12" s="30"/>
      <c r="CO12" s="152"/>
      <c r="CP12" s="152"/>
      <c r="CQ12" s="152"/>
      <c r="CR12" s="152"/>
      <c r="CS12" s="152"/>
      <c r="CT12" s="152"/>
      <c r="CU12" s="152"/>
      <c r="CV12" s="152"/>
      <c r="CW12" s="152"/>
      <c r="CX12" s="152"/>
      <c r="CY12" s="152"/>
      <c r="CZ12" s="152"/>
      <c r="DA12" s="152"/>
      <c r="DB12" s="157" t="str">
        <f>IF(DC5&gt;0,"please enter!","")</f>
        <v/>
      </c>
      <c r="DC12" s="30"/>
      <c r="DD12" s="152"/>
      <c r="DE12" s="152"/>
      <c r="DF12" s="152"/>
      <c r="DG12" s="152"/>
      <c r="DH12" s="152"/>
      <c r="DI12" s="152"/>
      <c r="DJ12" s="152"/>
      <c r="DK12" s="152"/>
      <c r="DL12" s="152"/>
      <c r="DM12" s="152"/>
      <c r="DN12" s="152"/>
      <c r="DO12" s="152"/>
      <c r="DP12" s="152"/>
      <c r="DQ12" s="152"/>
      <c r="DR12" s="152"/>
      <c r="DS12" s="152"/>
      <c r="DT12" s="152"/>
      <c r="DU12" s="152"/>
      <c r="DV12" s="152"/>
      <c r="DW12" s="152"/>
      <c r="DX12" s="152"/>
      <c r="DY12" s="152"/>
      <c r="DZ12" s="152"/>
      <c r="EA12" s="152"/>
      <c r="EC12" s="152"/>
      <c r="ED12" s="152"/>
      <c r="EE12" s="152"/>
      <c r="EF12" s="152"/>
      <c r="EG12" s="152"/>
      <c r="EH12" s="152"/>
      <c r="EI12" s="152"/>
      <c r="EJ12" s="152"/>
      <c r="EK12" s="152"/>
      <c r="EL12" s="152"/>
      <c r="EM12" s="152"/>
      <c r="EN12" s="152"/>
      <c r="EO12" s="152"/>
      <c r="EP12" s="152"/>
      <c r="EQ12" s="152"/>
      <c r="ER12" s="152"/>
      <c r="ES12" s="157" t="str">
        <f>IF(ET5&gt;0,"please enter!","")</f>
        <v/>
      </c>
      <c r="ET12" s="30"/>
      <c r="EU12" s="152"/>
      <c r="EV12" s="152"/>
      <c r="EW12" s="152"/>
      <c r="EX12" s="152"/>
      <c r="EY12" s="157" t="str">
        <f>IF(EZ5&gt;0,"please enter!","")</f>
        <v/>
      </c>
      <c r="EZ12" s="30"/>
      <c r="FA12" s="152"/>
      <c r="FB12" s="152"/>
      <c r="FC12" s="152"/>
      <c r="FD12" s="152"/>
      <c r="FE12" s="152"/>
      <c r="FF12" s="152"/>
      <c r="FG12" s="152"/>
      <c r="FH12" s="152"/>
      <c r="FI12" s="152"/>
      <c r="FJ12" s="152"/>
      <c r="FK12" s="152"/>
      <c r="FL12" s="152"/>
      <c r="FM12" s="152"/>
      <c r="FN12" s="152"/>
      <c r="FO12" s="152"/>
      <c r="FP12" s="152"/>
      <c r="FQ12" s="152"/>
      <c r="FR12" s="152"/>
      <c r="FS12" s="152"/>
      <c r="FT12" s="152"/>
      <c r="FU12" s="152"/>
      <c r="FV12" s="152"/>
      <c r="FW12" s="152"/>
      <c r="FX12" s="152"/>
      <c r="FY12" s="152"/>
      <c r="FZ12" s="152"/>
      <c r="GA12" s="152"/>
      <c r="GB12" s="152"/>
      <c r="GC12" s="152"/>
      <c r="GD12" s="152"/>
      <c r="GE12" s="152"/>
      <c r="GF12" s="152"/>
      <c r="GG12" s="152"/>
      <c r="GH12" s="152"/>
      <c r="GI12" s="152"/>
      <c r="GJ12" s="152"/>
      <c r="GK12" s="152"/>
      <c r="GL12" s="152"/>
      <c r="GM12" s="152"/>
      <c r="GN12" s="152"/>
      <c r="GO12" s="152"/>
      <c r="GP12" s="152"/>
      <c r="GQ12" s="152"/>
      <c r="GR12" s="152"/>
      <c r="GS12" s="152"/>
      <c r="GT12" s="152"/>
      <c r="GU12" s="152"/>
      <c r="GV12" s="152"/>
      <c r="GW12" s="152"/>
      <c r="GX12" s="152"/>
      <c r="GY12" s="152"/>
      <c r="GZ12" s="152"/>
      <c r="HA12" s="152"/>
      <c r="HB12" s="152"/>
      <c r="HC12" s="152"/>
      <c r="HD12" s="152"/>
      <c r="HE12" s="152"/>
      <c r="HF12" s="152"/>
      <c r="HG12" s="152"/>
      <c r="HH12" s="152"/>
      <c r="HI12" s="152"/>
      <c r="HJ12" s="152"/>
      <c r="HK12" s="152"/>
      <c r="HL12" s="152"/>
      <c r="HM12" s="152"/>
      <c r="HN12" s="152"/>
      <c r="HO12" s="152"/>
    </row>
    <row r="13" spans="1:223" s="149" customFormat="1" ht="57.75" customHeight="1">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152"/>
      <c r="BR13" s="152"/>
      <c r="BS13" s="152"/>
      <c r="BT13" s="152"/>
      <c r="BU13" s="158"/>
      <c r="BV13" s="153" t="s">
        <v>130</v>
      </c>
      <c r="BW13" s="285"/>
      <c r="BX13" s="285"/>
      <c r="BY13" s="285"/>
      <c r="BZ13" s="285"/>
      <c r="CA13" s="285"/>
      <c r="CB13" s="135"/>
      <c r="CC13" s="153" t="s">
        <v>51</v>
      </c>
      <c r="CD13" s="152"/>
      <c r="CE13" s="152"/>
      <c r="CF13" s="152"/>
      <c r="CG13" s="152"/>
      <c r="CH13" s="152"/>
      <c r="CI13" s="152"/>
      <c r="CJ13" s="152"/>
      <c r="CK13" s="152"/>
      <c r="CL13" s="152"/>
      <c r="CM13" s="135"/>
      <c r="CN13" s="153" t="s">
        <v>51</v>
      </c>
      <c r="CO13" s="152"/>
      <c r="CP13" s="152"/>
      <c r="CQ13" s="152"/>
      <c r="CR13" s="152"/>
      <c r="CS13" s="152"/>
      <c r="CT13" s="152"/>
      <c r="CU13" s="152"/>
      <c r="CV13" s="152"/>
      <c r="CW13" s="152"/>
      <c r="CX13" s="152"/>
      <c r="CY13" s="152"/>
      <c r="CZ13" s="152"/>
      <c r="DA13" s="152"/>
      <c r="DB13" s="159"/>
      <c r="DC13" s="153" t="s">
        <v>51</v>
      </c>
      <c r="DD13" s="152"/>
      <c r="DE13" s="152"/>
      <c r="DF13" s="152"/>
      <c r="DG13" s="152"/>
      <c r="DH13" s="152"/>
      <c r="DI13" s="152"/>
      <c r="DJ13" s="152"/>
      <c r="DK13" s="152"/>
      <c r="DL13" s="152"/>
      <c r="DM13" s="152"/>
      <c r="DN13" s="152"/>
      <c r="DO13" s="152"/>
      <c r="DP13" s="152"/>
      <c r="DQ13" s="152"/>
      <c r="DR13" s="152"/>
      <c r="DS13" s="152"/>
      <c r="DT13" s="152"/>
      <c r="DU13" s="152"/>
      <c r="DV13" s="152"/>
      <c r="DW13" s="152"/>
      <c r="DX13" s="152"/>
      <c r="DY13" s="152"/>
      <c r="DZ13" s="152"/>
      <c r="EA13" s="152"/>
      <c r="EC13" s="152"/>
      <c r="ED13" s="152"/>
      <c r="EE13" s="152"/>
      <c r="EF13" s="152"/>
      <c r="EG13" s="152"/>
      <c r="EH13" s="152"/>
      <c r="EI13" s="152"/>
      <c r="EJ13" s="152"/>
      <c r="EK13" s="152"/>
      <c r="EL13" s="152"/>
      <c r="EM13" s="152"/>
      <c r="EN13" s="152"/>
      <c r="EO13" s="152"/>
      <c r="EP13" s="152"/>
      <c r="EQ13" s="152"/>
      <c r="ER13" s="152"/>
      <c r="ES13" s="159"/>
      <c r="ET13" s="153" t="s">
        <v>51</v>
      </c>
      <c r="EU13" s="152"/>
      <c r="EV13" s="152"/>
      <c r="EW13" s="152"/>
      <c r="EX13" s="152"/>
      <c r="EY13" s="159"/>
      <c r="EZ13" s="153" t="s">
        <v>51</v>
      </c>
      <c r="FA13" s="152"/>
      <c r="FB13" s="152"/>
      <c r="FC13" s="152"/>
      <c r="FD13" s="152"/>
      <c r="FE13" s="152"/>
      <c r="FF13" s="152"/>
      <c r="FG13" s="152"/>
      <c r="FH13" s="152"/>
      <c r="FI13" s="152"/>
      <c r="FJ13" s="152"/>
      <c r="FK13" s="152"/>
      <c r="FL13" s="152"/>
      <c r="FM13" s="152"/>
      <c r="FN13" s="152"/>
      <c r="FO13" s="152"/>
      <c r="FP13" s="152"/>
      <c r="FQ13" s="152"/>
      <c r="FR13" s="152"/>
      <c r="FS13" s="152"/>
      <c r="FT13" s="152"/>
      <c r="FU13" s="152"/>
      <c r="FV13" s="152"/>
      <c r="FW13" s="152"/>
      <c r="FX13" s="152"/>
      <c r="FY13" s="152"/>
      <c r="FZ13" s="152"/>
      <c r="GA13" s="152"/>
      <c r="GB13" s="152"/>
      <c r="GC13" s="152"/>
      <c r="GD13" s="152"/>
      <c r="GE13" s="152"/>
      <c r="GF13" s="152"/>
      <c r="GG13" s="152"/>
      <c r="GH13" s="152"/>
      <c r="GI13" s="152"/>
      <c r="GJ13" s="152"/>
      <c r="GK13" s="152"/>
      <c r="GL13" s="152"/>
      <c r="GM13" s="152"/>
      <c r="GN13" s="152"/>
      <c r="GO13" s="152"/>
      <c r="GP13" s="152"/>
      <c r="GQ13" s="152"/>
      <c r="GR13" s="152"/>
      <c r="GS13" s="152"/>
      <c r="GT13" s="152"/>
      <c r="GU13" s="152"/>
      <c r="GV13" s="152"/>
      <c r="GW13" s="152" t="s">
        <v>334</v>
      </c>
      <c r="GX13" s="152"/>
      <c r="GY13" s="152"/>
      <c r="GZ13" s="152"/>
      <c r="HA13" s="152"/>
      <c r="HB13" s="152"/>
      <c r="HC13" s="152"/>
      <c r="HD13" s="152"/>
      <c r="HE13" s="152"/>
      <c r="HF13" s="152"/>
      <c r="HG13" s="152"/>
      <c r="HH13" s="152"/>
      <c r="HI13" s="152"/>
      <c r="HJ13" s="152"/>
      <c r="HK13" s="152"/>
      <c r="HL13" s="152"/>
      <c r="HM13" s="152"/>
      <c r="HN13" s="152"/>
      <c r="HO13" s="152"/>
    </row>
    <row r="14" spans="1:223" s="149" customFormat="1" ht="24.95" customHeight="1">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c r="BI14" s="152"/>
      <c r="BJ14" s="152"/>
      <c r="BK14" s="152"/>
      <c r="BL14" s="152"/>
      <c r="BM14" s="152"/>
      <c r="BN14" s="152"/>
      <c r="BO14" s="152"/>
      <c r="BP14" s="152"/>
      <c r="BQ14" s="152"/>
      <c r="BR14" s="152"/>
      <c r="BS14" s="152"/>
      <c r="BT14" s="152"/>
      <c r="BU14" s="155" t="str">
        <f>IF(BV5&gt;0,"please enter!","")</f>
        <v/>
      </c>
      <c r="BV14" s="22"/>
      <c r="BW14" s="285"/>
      <c r="BX14" s="285"/>
      <c r="BY14" s="285"/>
      <c r="BZ14" s="285"/>
      <c r="CA14" s="285"/>
      <c r="CB14" s="156" t="str">
        <f>IF(CC5&gt;0,"please select!","")</f>
        <v/>
      </c>
      <c r="CC14" s="31"/>
      <c r="CD14" s="152"/>
      <c r="CE14" s="152"/>
      <c r="CF14" s="152"/>
      <c r="CG14" s="152"/>
      <c r="CH14" s="152"/>
      <c r="CI14" s="152"/>
      <c r="CJ14" s="152"/>
      <c r="CK14" s="152"/>
      <c r="CL14" s="152"/>
      <c r="CM14" s="156" t="str">
        <f>IF(CN5&gt;0,"please select!","")</f>
        <v/>
      </c>
      <c r="CN14" s="32"/>
      <c r="CO14" s="152"/>
      <c r="CP14" s="152"/>
      <c r="CQ14" s="152"/>
      <c r="CR14" s="152"/>
      <c r="CS14" s="152"/>
      <c r="CT14" s="152"/>
      <c r="CU14" s="152"/>
      <c r="CV14" s="152"/>
      <c r="CW14" s="152"/>
      <c r="CX14" s="152"/>
      <c r="CY14" s="152"/>
      <c r="CZ14" s="152"/>
      <c r="DA14" s="152"/>
      <c r="DB14" s="157" t="str">
        <f>IF(DC5&gt;0,"please select!","")</f>
        <v/>
      </c>
      <c r="DC14" s="29"/>
      <c r="DD14" s="152"/>
      <c r="DE14" s="152"/>
      <c r="DF14" s="152"/>
      <c r="DG14" s="152"/>
      <c r="DH14" s="152"/>
      <c r="DI14" s="152"/>
      <c r="DJ14" s="152"/>
      <c r="DK14" s="152"/>
      <c r="DL14" s="152"/>
      <c r="DM14" s="152"/>
      <c r="DN14" s="152"/>
      <c r="DO14" s="152"/>
      <c r="DP14" s="152"/>
      <c r="DQ14" s="152"/>
      <c r="DR14" s="152"/>
      <c r="DS14" s="152"/>
      <c r="DT14" s="152"/>
      <c r="DU14" s="152"/>
      <c r="DV14" s="152"/>
      <c r="DW14" s="152"/>
      <c r="DX14" s="152"/>
      <c r="DY14" s="152"/>
      <c r="DZ14" s="152"/>
      <c r="EA14" s="152"/>
      <c r="EC14" s="152"/>
      <c r="ED14" s="152"/>
      <c r="EE14" s="152"/>
      <c r="EF14" s="152"/>
      <c r="EG14" s="152"/>
      <c r="EH14" s="152"/>
      <c r="EI14" s="152"/>
      <c r="EJ14" s="152"/>
      <c r="EK14" s="152"/>
      <c r="EL14" s="152"/>
      <c r="EM14" s="152"/>
      <c r="EN14" s="152"/>
      <c r="EO14" s="152"/>
      <c r="EP14" s="152"/>
      <c r="EQ14" s="152"/>
      <c r="ER14" s="152"/>
      <c r="ES14" s="157" t="str">
        <f>IF(ET5&gt;0,"please select!","")</f>
        <v/>
      </c>
      <c r="ET14" s="29"/>
      <c r="EU14" s="152"/>
      <c r="EV14" s="152"/>
      <c r="EW14" s="152"/>
      <c r="EX14" s="152"/>
      <c r="EY14" s="157" t="str">
        <f>IF(EZ5&gt;0,"please select!","")</f>
        <v/>
      </c>
      <c r="EZ14" s="29"/>
      <c r="FA14" s="152"/>
      <c r="FB14" s="152"/>
      <c r="FC14" s="152"/>
      <c r="FD14" s="152"/>
      <c r="FE14" s="152"/>
      <c r="FF14" s="152"/>
      <c r="FG14" s="152"/>
      <c r="FH14" s="152"/>
      <c r="FI14" s="152"/>
      <c r="FJ14" s="152"/>
      <c r="FK14" s="152"/>
      <c r="FL14" s="152"/>
      <c r="FM14" s="152"/>
      <c r="FN14" s="152"/>
      <c r="FO14" s="152"/>
      <c r="FP14" s="152"/>
      <c r="FQ14" s="152"/>
      <c r="FR14" s="152"/>
      <c r="FS14" s="152"/>
      <c r="FT14" s="152"/>
      <c r="FU14" s="152"/>
      <c r="FV14" s="152"/>
      <c r="FW14" s="152"/>
      <c r="FX14" s="152"/>
      <c r="FY14" s="152"/>
      <c r="FZ14" s="152"/>
      <c r="GA14" s="152"/>
      <c r="GB14" s="152"/>
      <c r="GC14" s="152"/>
      <c r="GD14" s="152"/>
      <c r="GE14" s="152"/>
      <c r="GF14" s="152"/>
      <c r="GG14" s="152"/>
      <c r="GH14" s="152"/>
      <c r="GI14" s="152"/>
      <c r="GJ14" s="152"/>
      <c r="GK14" s="152"/>
      <c r="GL14" s="152"/>
      <c r="GM14" s="152"/>
      <c r="GN14" s="152"/>
      <c r="GO14" s="152"/>
      <c r="GP14" s="152"/>
      <c r="GQ14" s="152"/>
      <c r="GR14" s="152"/>
      <c r="GS14" s="152"/>
      <c r="GT14" s="152"/>
      <c r="GU14" s="152"/>
      <c r="GV14" s="152"/>
      <c r="GW14" s="285" t="s">
        <v>335</v>
      </c>
      <c r="GX14" s="152"/>
      <c r="GY14" s="152"/>
      <c r="GZ14" s="152"/>
      <c r="HA14" s="152"/>
      <c r="HB14" s="152"/>
      <c r="HC14" s="152"/>
      <c r="HD14" s="152"/>
      <c r="HE14" s="152"/>
      <c r="HF14" s="152"/>
      <c r="HG14" s="152"/>
      <c r="HH14" s="152"/>
      <c r="HI14" s="152"/>
      <c r="HJ14" s="152"/>
      <c r="HK14" s="152"/>
      <c r="HL14" s="152"/>
      <c r="HM14" s="152"/>
      <c r="HN14" s="152"/>
      <c r="HO14" s="152"/>
    </row>
    <row r="15" spans="1:223" s="149" customFormat="1" ht="85.5" customHeight="1">
      <c r="A15" s="152"/>
      <c r="AS15" s="152"/>
      <c r="BD15" s="152"/>
      <c r="BK15" s="152"/>
      <c r="BL15" s="152"/>
      <c r="BR15" s="152"/>
      <c r="BU15" s="158"/>
      <c r="BV15" s="153" t="s">
        <v>131</v>
      </c>
      <c r="BW15" s="285"/>
      <c r="BX15" s="285"/>
      <c r="BY15" s="285"/>
      <c r="BZ15" s="285"/>
      <c r="CA15" s="285"/>
      <c r="CB15" s="135"/>
      <c r="CC15" s="153" t="s">
        <v>133</v>
      </c>
      <c r="CD15" s="152"/>
      <c r="CE15" s="152"/>
      <c r="CF15" s="152"/>
      <c r="CG15" s="152"/>
      <c r="CH15" s="152"/>
      <c r="CI15" s="152"/>
      <c r="CJ15" s="152"/>
      <c r="CK15" s="152"/>
      <c r="CL15" s="152"/>
      <c r="CM15" s="135"/>
      <c r="CN15" s="153" t="s">
        <v>137</v>
      </c>
      <c r="CO15" s="152"/>
      <c r="CP15" s="152"/>
      <c r="CQ15" s="152"/>
      <c r="CR15" s="152"/>
      <c r="CS15" s="152"/>
      <c r="CT15" s="152"/>
      <c r="CU15" s="152"/>
      <c r="CV15" s="152"/>
      <c r="CW15" s="152"/>
      <c r="CX15" s="152"/>
      <c r="CY15" s="152"/>
      <c r="CZ15" s="152"/>
      <c r="DA15" s="152"/>
      <c r="DB15" s="159"/>
      <c r="DC15" s="153" t="s">
        <v>138</v>
      </c>
      <c r="DD15" s="152"/>
      <c r="DE15" s="152"/>
      <c r="DF15" s="152"/>
      <c r="DG15" s="152"/>
      <c r="DH15" s="152"/>
      <c r="DI15" s="152"/>
      <c r="DJ15" s="152"/>
      <c r="DK15" s="152"/>
      <c r="DL15" s="152"/>
      <c r="DM15" s="152"/>
      <c r="DN15" s="152"/>
      <c r="DO15" s="152"/>
      <c r="DP15" s="152"/>
      <c r="DQ15" s="152"/>
      <c r="DR15" s="152"/>
      <c r="DS15" s="152"/>
      <c r="DT15" s="152"/>
      <c r="DU15" s="152"/>
      <c r="DV15" s="152"/>
      <c r="DW15" s="152"/>
      <c r="DX15" s="152"/>
      <c r="DY15" s="152"/>
      <c r="DZ15" s="152"/>
      <c r="EA15" s="152"/>
      <c r="EC15" s="152"/>
      <c r="ED15" s="152"/>
      <c r="EE15" s="152"/>
      <c r="EF15" s="152"/>
      <c r="EG15" s="152"/>
      <c r="EH15" s="152"/>
      <c r="EI15" s="152"/>
      <c r="EJ15" s="152"/>
      <c r="EK15" s="152"/>
      <c r="EL15" s="152"/>
      <c r="EM15" s="152"/>
      <c r="EN15" s="152"/>
      <c r="EO15" s="152"/>
      <c r="EP15" s="152"/>
      <c r="EQ15" s="152"/>
      <c r="ER15" s="152"/>
      <c r="ES15" s="159"/>
      <c r="ET15" s="160" t="s">
        <v>216</v>
      </c>
      <c r="EU15" s="152"/>
      <c r="EV15" s="152"/>
      <c r="EW15" s="152"/>
      <c r="EX15" s="152"/>
      <c r="EY15" s="159"/>
      <c r="EZ15" s="153" t="s">
        <v>138</v>
      </c>
      <c r="FA15" s="152"/>
      <c r="FB15" s="152"/>
      <c r="FC15" s="152"/>
      <c r="FD15" s="152"/>
      <c r="FE15" s="152"/>
      <c r="FF15" s="152"/>
      <c r="FG15" s="152"/>
      <c r="FH15" s="152"/>
      <c r="FI15" s="152"/>
      <c r="FJ15" s="152"/>
      <c r="FK15" s="152"/>
      <c r="FL15" s="152"/>
      <c r="FM15" s="152"/>
      <c r="FN15" s="152"/>
      <c r="FO15" s="152"/>
      <c r="FP15" s="152"/>
      <c r="FQ15" s="152"/>
      <c r="FR15" s="152"/>
      <c r="FS15" s="152"/>
      <c r="FT15" s="152"/>
      <c r="FU15" s="152"/>
      <c r="FV15" s="152"/>
      <c r="FW15" s="152"/>
      <c r="FX15" s="152"/>
      <c r="FY15" s="152"/>
      <c r="FZ15" s="152"/>
      <c r="GA15" s="152"/>
      <c r="GB15" s="152"/>
      <c r="GC15" s="152"/>
      <c r="GD15" s="152"/>
      <c r="GE15" s="152"/>
      <c r="GF15" s="152"/>
      <c r="GG15" s="152"/>
      <c r="GH15" s="152"/>
      <c r="GI15" s="152"/>
      <c r="GJ15" s="152"/>
      <c r="GK15" s="152"/>
      <c r="GL15" s="152"/>
      <c r="GM15" s="152"/>
      <c r="GN15" s="152"/>
      <c r="GO15" s="152"/>
      <c r="GP15" s="152"/>
      <c r="GQ15" s="152"/>
      <c r="GR15" s="152"/>
      <c r="GS15" s="152"/>
      <c r="GT15" s="152"/>
      <c r="GU15" s="152"/>
      <c r="GV15" s="152"/>
      <c r="GW15" s="293" t="s">
        <v>336</v>
      </c>
      <c r="GX15" s="293"/>
      <c r="GY15" s="293"/>
      <c r="GZ15" s="293"/>
      <c r="HA15" s="293"/>
      <c r="HB15" s="293"/>
      <c r="HC15" s="293"/>
      <c r="HD15" s="152"/>
      <c r="HE15" s="152"/>
      <c r="HF15" s="152"/>
      <c r="HG15" s="152"/>
      <c r="HH15" s="152"/>
      <c r="HI15" s="152"/>
      <c r="HJ15" s="152"/>
      <c r="HK15" s="152"/>
      <c r="HL15" s="152"/>
      <c r="HM15" s="152"/>
      <c r="HN15" s="152"/>
      <c r="HO15" s="152"/>
    </row>
    <row r="16" spans="1:223" s="149" customFormat="1" ht="24.95" customHeight="1">
      <c r="A16" s="152"/>
      <c r="AS16" s="152"/>
      <c r="BD16" s="152"/>
      <c r="BR16" s="152"/>
      <c r="BU16" s="155" t="str">
        <f>IF(BV5&gt;0,"please enter!","")</f>
        <v/>
      </c>
      <c r="BV16" s="19"/>
      <c r="BW16" s="147"/>
      <c r="BX16" s="147"/>
      <c r="BY16" s="147"/>
      <c r="BZ16" s="147"/>
      <c r="CA16" s="147"/>
      <c r="CB16" s="156" t="str">
        <f>IF(CC5&gt;0,"please enter!","")</f>
        <v/>
      </c>
      <c r="CC16" s="31"/>
      <c r="CM16" s="156" t="str">
        <f>IF(CN5&gt;0,"please enter!","")</f>
        <v/>
      </c>
      <c r="CN16" s="20"/>
      <c r="DB16" s="157" t="str">
        <f>IF(DC5&gt;0,"please enter!","")</f>
        <v/>
      </c>
      <c r="DC16" s="31"/>
      <c r="DR16" s="152"/>
      <c r="ES16" s="157" t="str">
        <f>IF(ET5&gt;0,"please enter!","")</f>
        <v/>
      </c>
      <c r="ET16" s="31"/>
      <c r="EY16" s="157" t="str">
        <f>IF(EZ5&gt;0,"please enter!","")</f>
        <v/>
      </c>
      <c r="EZ16" s="31"/>
      <c r="FC16" s="152"/>
      <c r="GE16" s="152"/>
      <c r="HN16" s="152"/>
      <c r="HO16" s="152"/>
    </row>
    <row r="17" spans="1:223" s="149" customFormat="1" ht="78" customHeight="1">
      <c r="A17" s="152"/>
      <c r="AS17" s="152"/>
      <c r="BB17" s="163"/>
      <c r="BD17" s="152"/>
      <c r="BR17" s="152"/>
      <c r="BU17" s="158"/>
      <c r="BV17" s="153" t="s">
        <v>151</v>
      </c>
      <c r="BW17" s="164"/>
      <c r="BX17" s="147"/>
      <c r="BY17" s="147"/>
      <c r="BZ17" s="147"/>
      <c r="CA17" s="147"/>
      <c r="CB17" s="135"/>
      <c r="CC17" s="160" t="s">
        <v>243</v>
      </c>
      <c r="CM17" s="135"/>
      <c r="CN17" s="160" t="s">
        <v>243</v>
      </c>
      <c r="DB17" s="159"/>
      <c r="DC17" s="160" t="s">
        <v>243</v>
      </c>
      <c r="DR17" s="152"/>
      <c r="ES17" s="159"/>
      <c r="ET17" s="160" t="s">
        <v>243</v>
      </c>
      <c r="EY17" s="159"/>
      <c r="EZ17" s="160" t="s">
        <v>243</v>
      </c>
      <c r="FC17" s="152"/>
      <c r="GE17" s="152"/>
      <c r="HN17" s="152"/>
      <c r="HO17" s="152"/>
    </row>
    <row r="18" spans="1:223" s="149" customFormat="1" ht="24.95" customHeight="1">
      <c r="A18" s="152"/>
      <c r="AS18" s="152"/>
      <c r="BD18" s="152"/>
      <c r="BR18" s="152"/>
      <c r="BU18" s="155" t="str">
        <f>IF(BV5&gt;0,"please enter!","")</f>
        <v/>
      </c>
      <c r="BV18" s="24"/>
      <c r="BW18" s="147"/>
      <c r="BX18" s="147"/>
      <c r="BY18" s="147"/>
      <c r="BZ18" s="147"/>
      <c r="CA18" s="147"/>
      <c r="CB18" s="156" t="str">
        <f>IF(CC5&gt;0,"please enter!","")</f>
        <v/>
      </c>
      <c r="CC18" s="29"/>
      <c r="CM18" s="156" t="str">
        <f>IF(CN5&gt;0,"please enter!","")</f>
        <v/>
      </c>
      <c r="CN18" s="20"/>
      <c r="DB18" s="157" t="str">
        <f>IF(DC5&gt;0,"please enter!","")</f>
        <v/>
      </c>
      <c r="DC18" s="29"/>
      <c r="DR18" s="152"/>
      <c r="ES18" s="157" t="str">
        <f>IF(ET5&gt;0,"please enter!","")</f>
        <v/>
      </c>
      <c r="ET18" s="29"/>
      <c r="EY18" s="157" t="str">
        <f>IF(EZ5&gt;0,"please enter!","")</f>
        <v/>
      </c>
      <c r="EZ18" s="29"/>
      <c r="FC18" s="152"/>
      <c r="GE18" s="152"/>
      <c r="HN18" s="152"/>
      <c r="HO18" s="152"/>
    </row>
    <row r="19" spans="1:223" ht="38.25">
      <c r="BV19" s="26"/>
      <c r="BW19" s="26"/>
      <c r="BX19" s="26"/>
      <c r="BY19" s="26"/>
      <c r="BZ19" s="26"/>
      <c r="CA19" s="26"/>
      <c r="CB19" s="21"/>
      <c r="CC19" s="25" t="s">
        <v>136</v>
      </c>
      <c r="CM19" s="21"/>
      <c r="CN19" s="25" t="s">
        <v>136</v>
      </c>
      <c r="DB19" s="35"/>
      <c r="DC19" s="25" t="s">
        <v>136</v>
      </c>
      <c r="EC19" s="149"/>
      <c r="ED19" s="149"/>
      <c r="ES19" s="35"/>
      <c r="ET19" s="25" t="s">
        <v>136</v>
      </c>
      <c r="EY19" s="35"/>
      <c r="EZ19" s="25" t="s">
        <v>136</v>
      </c>
    </row>
    <row r="20" spans="1:223" ht="24.95" customHeight="1">
      <c r="BU20" s="23"/>
      <c r="BV20" s="23"/>
      <c r="CB20" s="34" t="str">
        <f>IF(CC18&lt;50,"please select!","")</f>
        <v>please select!</v>
      </c>
      <c r="CC20" s="31"/>
      <c r="CM20" s="34" t="str">
        <f>IF(CN18&lt;50,"please select!","")</f>
        <v>please select!</v>
      </c>
      <c r="CN20" s="31"/>
      <c r="DB20" s="34" t="str">
        <f>IF(DC18&lt;50,"please select!","")</f>
        <v>please select!</v>
      </c>
      <c r="DC20" s="29"/>
      <c r="EC20" s="149"/>
      <c r="ED20" s="149"/>
      <c r="ES20" s="56" t="str">
        <f>IF(ET18&lt;50,"please select!","")</f>
        <v>please select!</v>
      </c>
      <c r="ET20" s="29"/>
      <c r="EY20" s="56" t="str">
        <f>IF(EZ18&lt;50,"please select!","")</f>
        <v>please select!</v>
      </c>
      <c r="EZ20" s="29"/>
    </row>
    <row r="21" spans="1:223" ht="39" customHeight="1">
      <c r="CB21" s="21"/>
      <c r="CC21" s="27" t="s">
        <v>171</v>
      </c>
      <c r="CM21" s="21"/>
      <c r="CN21" s="27" t="s">
        <v>171</v>
      </c>
      <c r="DB21" s="21"/>
      <c r="DC21" s="27" t="s">
        <v>171</v>
      </c>
      <c r="EC21" s="149"/>
      <c r="ED21" s="149"/>
    </row>
    <row r="22" spans="1:223" ht="24.95" customHeight="1">
      <c r="CB22" s="34" t="str">
        <f>IF(CC5&gt;0,"please select!","")</f>
        <v/>
      </c>
      <c r="CC22" s="29"/>
      <c r="CM22" s="34" t="str">
        <f>IF(CN5&gt;0,"please select!","")</f>
        <v/>
      </c>
      <c r="CN22" s="29"/>
      <c r="DB22" s="34" t="str">
        <f>IF(DC5&gt;0,"please select!","")</f>
        <v/>
      </c>
      <c r="DC22" s="29"/>
      <c r="EC22" s="149"/>
      <c r="ED22" s="149"/>
    </row>
    <row r="23" spans="1:223">
      <c r="CB23" s="14"/>
      <c r="DB23" s="14"/>
    </row>
  </sheetData>
  <sheetProtection algorithmName="SHA-512" hashValue="NreI/Omj5F8CPpvp/NFd1AtjBdB/HYtM0EW+HUBKEXG4noyqbX8Yp3yQyKd4LB+QR/1nXuJ0xQjSiqCvP46f0Q==" saltValue="QxWwBbLeabO82VF66iDdUQ==" spinCount="100000" sheet="1" objects="1" scenarios="1"/>
  <mergeCells count="29">
    <mergeCell ref="B1:Q1"/>
    <mergeCell ref="BP7:BP8"/>
    <mergeCell ref="BM7:BM8"/>
    <mergeCell ref="AI3:AL3"/>
    <mergeCell ref="AG3:AH3"/>
    <mergeCell ref="GM6:GM9"/>
    <mergeCell ref="GL6:GL7"/>
    <mergeCell ref="GT3:HA3"/>
    <mergeCell ref="BJ7:BJ8"/>
    <mergeCell ref="B3:AF3"/>
    <mergeCell ref="GF2:HM2"/>
    <mergeCell ref="CC3:CM3"/>
    <mergeCell ref="FD3:FR3"/>
    <mergeCell ref="FS3:GC3"/>
    <mergeCell ref="ET3:EX3"/>
    <mergeCell ref="EZ3:FA3"/>
    <mergeCell ref="EI3:EJ3"/>
    <mergeCell ref="ED3:EH3"/>
    <mergeCell ref="EK3:ER3"/>
    <mergeCell ref="DS3:EC3"/>
    <mergeCell ref="CN3:DB3"/>
    <mergeCell ref="DC3:DQ3"/>
    <mergeCell ref="HD3:HJ3"/>
    <mergeCell ref="GF3:GR3"/>
    <mergeCell ref="BV3:CB3"/>
    <mergeCell ref="BE3:BQ3"/>
    <mergeCell ref="BS3:BU3"/>
    <mergeCell ref="AN3:AR3"/>
    <mergeCell ref="AT3:AW3"/>
  </mergeCells>
  <conditionalFormatting sqref="DE5">
    <cfRule type="expression" dxfId="140" priority="111" stopIfTrue="1">
      <formula>DC5&gt;0</formula>
    </cfRule>
  </conditionalFormatting>
  <conditionalFormatting sqref="DH5">
    <cfRule type="expression" dxfId="139" priority="112" stopIfTrue="1">
      <formula>DC5&gt;0</formula>
    </cfRule>
  </conditionalFormatting>
  <conditionalFormatting sqref="FG5">
    <cfRule type="expression" dxfId="138" priority="113" stopIfTrue="1">
      <formula>FD5="yes"</formula>
    </cfRule>
  </conditionalFormatting>
  <conditionalFormatting sqref="AK5">
    <cfRule type="expression" dxfId="137" priority="125">
      <formula>AH5="yes"</formula>
    </cfRule>
  </conditionalFormatting>
  <conditionalFormatting sqref="DD5">
    <cfRule type="expression" dxfId="136" priority="133" stopIfTrue="1">
      <formula>DC5&gt;0</formula>
    </cfRule>
  </conditionalFormatting>
  <conditionalFormatting sqref="EE5">
    <cfRule type="expression" dxfId="135" priority="143" stopIfTrue="1">
      <formula>ED5="yes"</formula>
    </cfRule>
  </conditionalFormatting>
  <conditionalFormatting sqref="EF5">
    <cfRule type="expression" dxfId="134" priority="144" stopIfTrue="1">
      <formula>ED5="yes"</formula>
    </cfRule>
  </conditionalFormatting>
  <conditionalFormatting sqref="EC5 DP5:DR5 DA5:DB5 DL5 CL5:CM5 CW5 CH5 BQ5:BR5 AR5:AS5">
    <cfRule type="cellIs" dxfId="133" priority="146" stopIfTrue="1" operator="equal">
      <formula>"not ok"</formula>
    </cfRule>
  </conditionalFormatting>
  <conditionalFormatting sqref="FH5">
    <cfRule type="expression" dxfId="132" priority="156" stopIfTrue="1">
      <formula>FD5="yes"</formula>
    </cfRule>
  </conditionalFormatting>
  <conditionalFormatting sqref="CC14">
    <cfRule type="expression" dxfId="131" priority="108" stopIfTrue="1">
      <formula>CC5&gt;0</formula>
    </cfRule>
  </conditionalFormatting>
  <conditionalFormatting sqref="CC16">
    <cfRule type="expression" dxfId="130" priority="107" stopIfTrue="1">
      <formula>CC5&gt;0</formula>
    </cfRule>
  </conditionalFormatting>
  <conditionalFormatting sqref="CC18">
    <cfRule type="expression" dxfId="129" priority="106" stopIfTrue="1">
      <formula>CC5&gt;0</formula>
    </cfRule>
  </conditionalFormatting>
  <conditionalFormatting sqref="CC20">
    <cfRule type="expression" dxfId="128" priority="105" stopIfTrue="1">
      <formula>AND(CC18&lt;50,CC5&gt;0)</formula>
    </cfRule>
  </conditionalFormatting>
  <conditionalFormatting sqref="CN18">
    <cfRule type="expression" dxfId="127" priority="102" stopIfTrue="1">
      <formula>CN5&gt;0</formula>
    </cfRule>
  </conditionalFormatting>
  <conditionalFormatting sqref="CN14">
    <cfRule type="expression" dxfId="126" priority="104" stopIfTrue="1">
      <formula>CN5&gt;0</formula>
    </cfRule>
  </conditionalFormatting>
  <conditionalFormatting sqref="CN16">
    <cfRule type="expression" dxfId="125" priority="103" stopIfTrue="1">
      <formula>CN5&gt;0</formula>
    </cfRule>
  </conditionalFormatting>
  <conditionalFormatting sqref="DC18">
    <cfRule type="expression" dxfId="124" priority="99" stopIfTrue="1">
      <formula>DC5&gt;0</formula>
    </cfRule>
  </conditionalFormatting>
  <conditionalFormatting sqref="DC14">
    <cfRule type="expression" dxfId="123" priority="101" stopIfTrue="1">
      <formula>DC5&gt;0</formula>
    </cfRule>
  </conditionalFormatting>
  <conditionalFormatting sqref="DC16">
    <cfRule type="expression" dxfId="122" priority="100" stopIfTrue="1">
      <formula>DC5&gt;0</formula>
    </cfRule>
  </conditionalFormatting>
  <conditionalFormatting sqref="EA5">
    <cfRule type="cellIs" dxfId="121" priority="97" stopIfTrue="1" operator="equal">
      <formula>"not ok"</formula>
    </cfRule>
  </conditionalFormatting>
  <conditionalFormatting sqref="DY5">
    <cfRule type="cellIs" dxfId="120" priority="98" stopIfTrue="1" operator="equal">
      <formula>"not ok"</formula>
    </cfRule>
  </conditionalFormatting>
  <conditionalFormatting sqref="AJ5">
    <cfRule type="expression" dxfId="119" priority="96">
      <formula>AD5="colour and monochrome"</formula>
    </cfRule>
  </conditionalFormatting>
  <conditionalFormatting sqref="CC8">
    <cfRule type="expression" dxfId="118" priority="92">
      <formula>CC5&gt;0</formula>
    </cfRule>
  </conditionalFormatting>
  <conditionalFormatting sqref="DG5">
    <cfRule type="expression" dxfId="117" priority="175" stopIfTrue="1">
      <formula>DC5&gt;0</formula>
    </cfRule>
  </conditionalFormatting>
  <conditionalFormatting sqref="AM5">
    <cfRule type="expression" dxfId="116" priority="180" stopIfTrue="1">
      <formula>AND(#REF!="line printing",AE5="colour and monochrom")</formula>
    </cfRule>
  </conditionalFormatting>
  <conditionalFormatting sqref="AJ8">
    <cfRule type="expression" dxfId="115" priority="89">
      <formula>AD5="colour and monochrome"</formula>
    </cfRule>
  </conditionalFormatting>
  <conditionalFormatting sqref="AK8">
    <cfRule type="expression" dxfId="114" priority="88">
      <formula>AH5="yes"</formula>
    </cfRule>
  </conditionalFormatting>
  <conditionalFormatting sqref="CC10">
    <cfRule type="expression" dxfId="113" priority="86">
      <formula>CC5&gt;0</formula>
    </cfRule>
  </conditionalFormatting>
  <conditionalFormatting sqref="CC12">
    <cfRule type="expression" dxfId="112" priority="85">
      <formula>CC5&gt;0</formula>
    </cfRule>
  </conditionalFormatting>
  <conditionalFormatting sqref="CC22">
    <cfRule type="expression" dxfId="111" priority="84" stopIfTrue="1">
      <formula>CC5&gt;0</formula>
    </cfRule>
  </conditionalFormatting>
  <conditionalFormatting sqref="CN20">
    <cfRule type="expression" dxfId="110" priority="83" stopIfTrue="1">
      <formula>AND(CN18&lt;50,CN5&gt;0)</formula>
    </cfRule>
  </conditionalFormatting>
  <conditionalFormatting sqref="CN22">
    <cfRule type="expression" dxfId="109" priority="82" stopIfTrue="1">
      <formula>CN5&gt;0</formula>
    </cfRule>
  </conditionalFormatting>
  <conditionalFormatting sqref="CN8">
    <cfRule type="expression" dxfId="108" priority="81">
      <formula>CN5&gt;0</formula>
    </cfRule>
  </conditionalFormatting>
  <conditionalFormatting sqref="CN10">
    <cfRule type="expression" dxfId="107" priority="80">
      <formula>CN5&gt;0</formula>
    </cfRule>
  </conditionalFormatting>
  <conditionalFormatting sqref="CN12">
    <cfRule type="expression" dxfId="106" priority="79">
      <formula>CN5&gt;0</formula>
    </cfRule>
  </conditionalFormatting>
  <conditionalFormatting sqref="CD5">
    <cfRule type="expression" dxfId="105" priority="78">
      <formula>CC5&gt;0</formula>
    </cfRule>
  </conditionalFormatting>
  <conditionalFormatting sqref="CF5">
    <cfRule type="expression" dxfId="104" priority="77">
      <formula>CC5&gt;0</formula>
    </cfRule>
  </conditionalFormatting>
  <conditionalFormatting sqref="CG5">
    <cfRule type="expression" dxfId="103" priority="76">
      <formula>CC5&gt;0</formula>
    </cfRule>
  </conditionalFormatting>
  <conditionalFormatting sqref="CO5">
    <cfRule type="expression" dxfId="102" priority="75">
      <formula>CN5&gt;0</formula>
    </cfRule>
  </conditionalFormatting>
  <conditionalFormatting sqref="CP5">
    <cfRule type="expression" dxfId="101" priority="74">
      <formula>CN5&gt;0</formula>
    </cfRule>
  </conditionalFormatting>
  <conditionalFormatting sqref="CR5">
    <cfRule type="expression" dxfId="100" priority="73">
      <formula>CN5&gt;0</formula>
    </cfRule>
  </conditionalFormatting>
  <conditionalFormatting sqref="CS5">
    <cfRule type="expression" dxfId="99" priority="72">
      <formula>CN5&gt;0</formula>
    </cfRule>
  </conditionalFormatting>
  <conditionalFormatting sqref="DC20">
    <cfRule type="expression" dxfId="98" priority="71" stopIfTrue="1">
      <formula>AND(DC18&lt;50,DC5&gt;0)</formula>
    </cfRule>
  </conditionalFormatting>
  <conditionalFormatting sqref="DC22">
    <cfRule type="expression" dxfId="97" priority="70" stopIfTrue="1">
      <formula>DC5&gt;0</formula>
    </cfRule>
  </conditionalFormatting>
  <conditionalFormatting sqref="DC8">
    <cfRule type="expression" dxfId="96" priority="69">
      <formula>DC5&gt;0</formula>
    </cfRule>
  </conditionalFormatting>
  <conditionalFormatting sqref="DC10">
    <cfRule type="expression" dxfId="95" priority="68">
      <formula>DC5&gt;0</formula>
    </cfRule>
  </conditionalFormatting>
  <conditionalFormatting sqref="DC12">
    <cfRule type="expression" dxfId="94" priority="67">
      <formula>DC5&gt;0</formula>
    </cfRule>
  </conditionalFormatting>
  <conditionalFormatting sqref="EJ5:EK5">
    <cfRule type="expression" dxfId="93" priority="64" stopIfTrue="1">
      <formula>EI5="yes"</formula>
    </cfRule>
  </conditionalFormatting>
  <conditionalFormatting sqref="EH5">
    <cfRule type="cellIs" dxfId="92" priority="62" stopIfTrue="1" operator="equal">
      <formula>"not ok"</formula>
    </cfRule>
  </conditionalFormatting>
  <conditionalFormatting sqref="FI5">
    <cfRule type="expression" dxfId="91" priority="61">
      <formula>FD5="yes"</formula>
    </cfRule>
  </conditionalFormatting>
  <conditionalFormatting sqref="FJ5">
    <cfRule type="expression" dxfId="90" priority="60">
      <formula>FD5="yes"</formula>
    </cfRule>
  </conditionalFormatting>
  <conditionalFormatting sqref="FR5">
    <cfRule type="cellIs" dxfId="89" priority="59" stopIfTrue="1" operator="equal">
      <formula>"not ok"</formula>
    </cfRule>
  </conditionalFormatting>
  <conditionalFormatting sqref="GC5">
    <cfRule type="cellIs" dxfId="88" priority="58" stopIfTrue="1" operator="equal">
      <formula>"not ok"</formula>
    </cfRule>
  </conditionalFormatting>
  <conditionalFormatting sqref="ET12">
    <cfRule type="expression" dxfId="87" priority="43">
      <formula>ET5&gt;0</formula>
    </cfRule>
  </conditionalFormatting>
  <conditionalFormatting sqref="ET18">
    <cfRule type="expression" dxfId="86" priority="48" stopIfTrue="1">
      <formula>ET5&gt;0</formula>
    </cfRule>
  </conditionalFormatting>
  <conditionalFormatting sqref="ET14">
    <cfRule type="expression" dxfId="85" priority="50" stopIfTrue="1">
      <formula>ET5&gt;0</formula>
    </cfRule>
  </conditionalFormatting>
  <conditionalFormatting sqref="ET16">
    <cfRule type="expression" dxfId="84" priority="49" stopIfTrue="1">
      <formula>ET5&gt;0</formula>
    </cfRule>
  </conditionalFormatting>
  <conditionalFormatting sqref="ET20">
    <cfRule type="expression" dxfId="83" priority="47" stopIfTrue="1">
      <formula>AND(ET18&lt;50,ET5&gt;0)</formula>
    </cfRule>
  </conditionalFormatting>
  <conditionalFormatting sqref="ET8">
    <cfRule type="expression" dxfId="82" priority="45">
      <formula>ET5&gt;0</formula>
    </cfRule>
  </conditionalFormatting>
  <conditionalFormatting sqref="ET10">
    <cfRule type="expression" dxfId="81" priority="44">
      <formula>ET5&gt;0</formula>
    </cfRule>
  </conditionalFormatting>
  <conditionalFormatting sqref="EU5">
    <cfRule type="expression" dxfId="80" priority="42">
      <formula>ET5&gt;0</formula>
    </cfRule>
  </conditionalFormatting>
  <conditionalFormatting sqref="EV5">
    <cfRule type="expression" dxfId="79" priority="41">
      <formula>ET5&gt;0</formula>
    </cfRule>
  </conditionalFormatting>
  <conditionalFormatting sqref="EW5">
    <cfRule type="expression" dxfId="78" priority="40">
      <formula>ET5&gt;0</formula>
    </cfRule>
  </conditionalFormatting>
  <conditionalFormatting sqref="EZ12">
    <cfRule type="expression" dxfId="77" priority="33">
      <formula>EZ5&gt;0</formula>
    </cfRule>
  </conditionalFormatting>
  <conditionalFormatting sqref="EZ18">
    <cfRule type="expression" dxfId="76" priority="37" stopIfTrue="1">
      <formula>EZ5&gt;0</formula>
    </cfRule>
  </conditionalFormatting>
  <conditionalFormatting sqref="EZ14">
    <cfRule type="expression" dxfId="75" priority="39" stopIfTrue="1">
      <formula>EZ5&gt;0</formula>
    </cfRule>
  </conditionalFormatting>
  <conditionalFormatting sqref="EZ16">
    <cfRule type="expression" dxfId="74" priority="38" stopIfTrue="1">
      <formula>EZ5&gt;0</formula>
    </cfRule>
  </conditionalFormatting>
  <conditionalFormatting sqref="EZ20">
    <cfRule type="expression" dxfId="73" priority="36" stopIfTrue="1">
      <formula>AND(EZ18&lt;50,EZ5&gt;0)</formula>
    </cfRule>
  </conditionalFormatting>
  <conditionalFormatting sqref="EZ8">
    <cfRule type="expression" dxfId="72" priority="35">
      <formula>EZ5&gt;0</formula>
    </cfRule>
  </conditionalFormatting>
  <conditionalFormatting sqref="EZ10">
    <cfRule type="expression" dxfId="71" priority="34">
      <formula>EZ5&gt;0</formula>
    </cfRule>
  </conditionalFormatting>
  <conditionalFormatting sqref="ED8">
    <cfRule type="expression" dxfId="70" priority="27">
      <formula>ED5="yes"</formula>
    </cfRule>
  </conditionalFormatting>
  <conditionalFormatting sqref="ED10">
    <cfRule type="expression" dxfId="69" priority="26">
      <formula>ED5="yes"</formula>
    </cfRule>
  </conditionalFormatting>
  <conditionalFormatting sqref="EI10">
    <cfRule type="expression" dxfId="68" priority="23">
      <formula>EI5="yes"</formula>
    </cfRule>
  </conditionalFormatting>
  <conditionalFormatting sqref="EI8">
    <cfRule type="expression" dxfId="67" priority="24">
      <formula>EI5="yes"</formula>
    </cfRule>
  </conditionalFormatting>
  <conditionalFormatting sqref="AA5">
    <cfRule type="cellIs" dxfId="66" priority="21" stopIfTrue="1" operator="equal">
      <formula>"not ok"</formula>
    </cfRule>
  </conditionalFormatting>
  <conditionalFormatting sqref="K5">
    <cfRule type="expression" dxfId="65" priority="17">
      <formula>J5="Yes"</formula>
    </cfRule>
  </conditionalFormatting>
  <conditionalFormatting sqref="EL8">
    <cfRule type="expression" dxfId="64" priority="16" stopIfTrue="1">
      <formula>EL5&gt;0</formula>
    </cfRule>
  </conditionalFormatting>
  <conditionalFormatting sqref="EL5">
    <cfRule type="expression" dxfId="63" priority="11">
      <formula>EK5&lt;&gt;"no auto-off"</formula>
    </cfRule>
  </conditionalFormatting>
  <conditionalFormatting sqref="ER5">
    <cfRule type="cellIs" dxfId="62" priority="9" stopIfTrue="1" operator="equal">
      <formula>"not ok"</formula>
    </cfRule>
  </conditionalFormatting>
  <conditionalFormatting sqref="GZ5">
    <cfRule type="expression" dxfId="61" priority="8" stopIfTrue="1">
      <formula>GH5&lt;&gt;""</formula>
    </cfRule>
  </conditionalFormatting>
  <conditionalFormatting sqref="HJ5">
    <cfRule type="expression" dxfId="60" priority="7" stopIfTrue="1">
      <formula>GR5&lt;&gt;""</formula>
    </cfRule>
  </conditionalFormatting>
  <conditionalFormatting sqref="BI5">
    <cfRule type="expression" dxfId="59" priority="6">
      <formula>BE5="yes"</formula>
    </cfRule>
  </conditionalFormatting>
  <conditionalFormatting sqref="BJ5">
    <cfRule type="expression" dxfId="58" priority="5">
      <formula>BE5="yes"</formula>
    </cfRule>
  </conditionalFormatting>
  <conditionalFormatting sqref="FF5">
    <cfRule type="expression" dxfId="57" priority="3" stopIfTrue="1">
      <formula>FD5="yes"</formula>
    </cfRule>
  </conditionalFormatting>
  <conditionalFormatting sqref="AL5">
    <cfRule type="expression" dxfId="56" priority="260" stopIfTrue="1">
      <formula>AND(AH5="yes", AD5="colour and monochrome")</formula>
    </cfRule>
  </conditionalFormatting>
  <conditionalFormatting sqref="AL8">
    <cfRule type="expression" dxfId="55" priority="261">
      <formula>AND(AH5="yes", AD5="colour and monochrome")</formula>
    </cfRule>
  </conditionalFormatting>
  <conditionalFormatting sqref="FS5">
    <cfRule type="expression" dxfId="54" priority="262" stopIfTrue="1">
      <formula>AND(FD5="yes", AD5="colour and monochrome")</formula>
    </cfRule>
  </conditionalFormatting>
  <conditionalFormatting sqref="FT5">
    <cfRule type="expression" dxfId="53" priority="263" stopIfTrue="1">
      <formula>AND(FD5="yes", AD5="colour and monochrome")</formula>
    </cfRule>
  </conditionalFormatting>
  <conditionalFormatting sqref="FU5">
    <cfRule type="expression" dxfId="52" priority="264" stopIfTrue="1">
      <formula>AND(FD5="yes", AD5="colour and monochrome")</formula>
    </cfRule>
  </conditionalFormatting>
  <conditionalFormatting sqref="EM5">
    <cfRule type="expression" dxfId="51" priority="1">
      <formula>EK5&lt;&gt;"no auto-off"</formula>
    </cfRule>
  </conditionalFormatting>
  <dataValidations count="34">
    <dataValidation type="decimal" allowBlank="1" showInputMessage="1" showErrorMessage="1" error="not possible" sqref="DH5 CS5" xr:uid="{00000000-0002-0000-0100-000000000000}">
      <formula1>CO5</formula1>
      <formula2>10000</formula2>
    </dataValidation>
    <dataValidation type="list" allowBlank="1" showInputMessage="1" sqref="GO5 GQ5" xr:uid="{00000000-0002-0000-0100-000001000000}">
      <formula1>Prüfung</formula1>
    </dataValidation>
    <dataValidation type="list" allowBlank="1" showInputMessage="1" showErrorMessage="1" sqref="GJ5" xr:uid="{00000000-0002-0000-0100-000002000000}">
      <formula1>Tisch_Standgerät</formula1>
    </dataValidation>
    <dataValidation type="list" allowBlank="1" showInputMessage="1" showErrorMessage="1" sqref="GI5" xr:uid="{00000000-0002-0000-0100-000003000000}">
      <formula1>Prüflabor</formula1>
    </dataValidation>
    <dataValidation type="list" allowBlank="1" showInputMessage="1" showErrorMessage="1" sqref="GH5" xr:uid="{00000000-0002-0000-0100-000004000000}">
      <formula1>Grund</formula1>
    </dataValidation>
    <dataValidation type="list" allowBlank="1" showErrorMessage="1" error="only selection possible" prompt="Bitte auswählen" sqref="DE5 CP5" xr:uid="{00000000-0002-0000-0100-000005000000}">
      <formula1>Aktivierungszeit</formula1>
    </dataValidation>
    <dataValidation type="list" allowBlank="1" showErrorMessage="1" error="only selection possible" prompt="Bitte auswählen" sqref="CC20 CN20 DC20 ET20 EZ20 ED20" xr:uid="{00000000-0002-0000-0100-000006000000}">
      <formula1>Ausnahme</formula1>
    </dataValidation>
    <dataValidation type="list" allowBlank="1" showErrorMessage="1" error="only selection possible" prompt="Bitte auswählen" sqref="ED5:EE5 DC14 CC14 CN14 EI5 ET14 EZ14 ED14 EL8" xr:uid="{00000000-0002-0000-0100-000007000000}">
      <formula1>Auswahl</formula1>
    </dataValidation>
    <dataValidation type="list" allowBlank="1" showErrorMessage="1" error="Only selection possible" prompt="Bitte auswählen" sqref="AI8:AL8" xr:uid="{00000000-0002-0000-0100-000008000000}">
      <formula1>Methode</formula1>
    </dataValidation>
    <dataValidation type="list" allowBlank="1" showErrorMessage="1" error="Only selection possible" prompt="Bitte auswählen" sqref="J5 AH5 AE5 J8 AB5 EM5 BE5:BF5 BH5 BO5" xr:uid="{00000000-0002-0000-0100-000009000000}">
      <formula1>Auswahl</formula1>
    </dataValidation>
    <dataValidation allowBlank="1" showInputMessage="1" showErrorMessage="1" error="Value must be lower than previous mode" sqref="CC5" xr:uid="{00000000-0002-0000-0100-00000A000000}"/>
    <dataValidation type="list" allowBlank="1" showErrorMessage="1" error="only selection possible" prompt="Bitte auswählen" sqref="FD5" xr:uid="{00000000-0002-0000-0100-00000B000000}">
      <formula1>Geräusche</formula1>
    </dataValidation>
    <dataValidation allowBlank="1" showInputMessage="1" showErrorMessage="1" error="Ungültige Eingabe, da kleiner als Aktivierungszeit" sqref="EW5" xr:uid="{00000000-0002-0000-0100-00000C000000}"/>
    <dataValidation allowBlank="1" showInputMessage="1" showErrorMessage="1" error="Ungültige Eingabe, da größer als Aktivierungszeit" sqref="EV5" xr:uid="{00000000-0002-0000-0100-00000D000000}"/>
    <dataValidation type="list" allowBlank="1" showErrorMessage="1" error="only selection possible" prompt="Bitte auswählen" sqref="BV20" xr:uid="{00000000-0002-0000-0100-00000E000000}">
      <formula1>Hauptfunktion</formula1>
    </dataValidation>
    <dataValidation type="decimal" allowBlank="1" showInputMessage="1" showErrorMessage="1" error="not possible" sqref="DD5 CO5" xr:uid="{00000000-0002-0000-0100-00000F000000}">
      <formula1>CR5</formula1>
      <formula2>CS5</formula2>
    </dataValidation>
    <dataValidation type="decimal" allowBlank="1" showInputMessage="1" showErrorMessage="1" error="not possible" sqref="DG5 CR5" xr:uid="{00000000-0002-0000-0100-000010000000}">
      <formula1>0</formula1>
      <formula2>CO5</formula2>
    </dataValidation>
    <dataValidation type="list" allowBlank="1" showErrorMessage="1" error="Only selection possible" prompt="Bitte auswählen" sqref="AD5" xr:uid="{00000000-0002-0000-0100-000012000000}">
      <formula1>Monochrom_Farbe</formula1>
    </dataValidation>
    <dataValidation type="list" allowBlank="1" showErrorMessage="1" error="Only selection possible" prompt="Bitte auswählen" sqref="AC5" xr:uid="{00000000-0002-0000-0100-000013000000}">
      <formula1>Gerätetyp</formula1>
    </dataValidation>
    <dataValidation type="decimal" allowBlank="1" showInputMessage="1" showErrorMessage="1" error="not possible" sqref="CD5" xr:uid="{00000000-0002-0000-0100-000014000000}">
      <formula1>CF5</formula1>
      <formula2>CG5</formula2>
    </dataValidation>
    <dataValidation type="list" allowBlank="1" showErrorMessage="1" error="only selection possible" prompt="Bitte auswählen" sqref="DV5" xr:uid="{00000000-0002-0000-0100-000015000000}">
      <formula1>Ruhezustand</formula1>
    </dataValidation>
    <dataValidation allowBlank="1" showErrorMessage="1" error="Only selection possible" prompt="Bitte auswählen" sqref="AF5:AG5 L5 BK5:BL5 BG5" xr:uid="{00000000-0002-0000-0100-000016000000}"/>
    <dataValidation type="list" allowBlank="1" showErrorMessage="1" error="only selection possible" prompt="Bitte auswählen" sqref="BV18" xr:uid="{00000000-0002-0000-0100-000017000000}">
      <formula1>Modus</formula1>
    </dataValidation>
    <dataValidation type="list" allowBlank="1" showInputMessage="1" showErrorMessage="1" sqref="BU5" xr:uid="{00000000-0002-0000-0100-000018000000}">
      <formula1>Modus</formula1>
    </dataValidation>
    <dataValidation type="list" allowBlank="1" showInputMessage="1" showErrorMessage="1" sqref="CC22 CN22 DC22 ED22" xr:uid="{00000000-0002-0000-0100-000019000000}">
      <formula1>Auswahl</formula1>
    </dataValidation>
    <dataValidation type="list" allowBlank="1" showInputMessage="1" sqref="EK5" xr:uid="{00000000-0002-0000-0100-00001A000000}">
      <formula1>autooff</formula1>
    </dataValidation>
    <dataValidation type="decimal" allowBlank="1" showInputMessage="1" showErrorMessage="1" error="not possible" sqref="CG5" xr:uid="{00000000-0002-0000-0100-00001B000000}">
      <formula1>CD5</formula1>
      <formula2>10000</formula2>
    </dataValidation>
    <dataValidation type="decimal" allowBlank="1" showInputMessage="1" showErrorMessage="1" error="not possible" sqref="CF5" xr:uid="{00000000-0002-0000-0100-00001C000000}">
      <formula1>0</formula1>
      <formula2>CD5</formula2>
    </dataValidation>
    <dataValidation type="whole" allowBlank="1" showInputMessage="1" showErrorMessage="1" sqref="B5" xr:uid="{8E92A9A7-7F10-469B-9D36-56F48C312266}">
      <formula1>0</formula1>
      <formula2>99999</formula2>
    </dataValidation>
    <dataValidation type="decimal" allowBlank="1" showErrorMessage="1" error="Not plausible" prompt="Bitte auswählen" sqref="K5 K8" xr:uid="{76B2B0CC-E5C2-46DD-94DB-50192141EF11}">
      <formula1>30550</formula1>
      <formula2>40000</formula2>
    </dataValidation>
    <dataValidation type="decimal" allowBlank="1" showInputMessage="1" showErrorMessage="1" error="Only value between 0 and 100 possible" sqref="U8 U5" xr:uid="{91196A10-F23C-4E79-A941-C3C53B5F4BF8}">
      <formula1>0</formula1>
      <formula2>100</formula2>
    </dataValidation>
    <dataValidation allowBlank="1" showInputMessage="1" sqref="EL5" xr:uid="{4B636360-15A3-4C2F-A8EA-4A4CB5940B5D}"/>
    <dataValidation type="decimal" allowBlank="1" showErrorMessage="1" error="Only selection possible" prompt="Bitte auswählen" sqref="BI5:BJ5" xr:uid="{6A3C08A4-DA8A-4460-B4F5-874018918441}">
      <formula1>0</formula1>
      <formula2>100</formula2>
    </dataValidation>
    <dataValidation type="list" allowBlank="1" showErrorMessage="1" error="only selection possible" prompt="Bitte auswählen" sqref="AN5" xr:uid="{00000000-0002-0000-0100-000011000000}">
      <formula1>Duplex</formula1>
    </dataValidation>
  </dataValidations>
  <pageMargins left="0.70866141732283472" right="0.70866141732283472" top="0.78740157480314965" bottom="0.78740157480314965" header="0.31496062992125984" footer="0.31496062992125984"/>
  <pageSetup paperSize="9" scale="37" fitToWidth="8" orientation="landscape" r:id="rId1"/>
  <colBreaks count="7" manualBreakCount="7">
    <brk id="38" max="1048575" man="1"/>
    <brk id="80" max="1048575" man="1"/>
    <brk id="106" max="1048575" man="1"/>
    <brk id="133" max="1048575" man="1"/>
    <brk id="159" max="1048575" man="1"/>
    <brk id="186" max="1048575" man="1"/>
    <brk id="209" max="1048575" man="1"/>
  </colBreaks>
  <ignoredErrors>
    <ignoredError sqref="EJ6 BU6 BO6" 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85B99C12-7A0A-4489-927E-1DA9090E5CAB}">
          <x14:formula1>
            <xm:f>'Internal Data'!$A$93:$A$95</xm:f>
          </x14:formula1>
          <xm:sqref>HJ5 GZ5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C3370-6F22-4841-A2D3-D232D03ABEBD}">
  <dimension ref="B1:V29"/>
  <sheetViews>
    <sheetView workbookViewId="0">
      <selection activeCell="M10" sqref="M10"/>
    </sheetView>
  </sheetViews>
  <sheetFormatPr baseColWidth="10" defaultColWidth="8.85546875" defaultRowHeight="12.75"/>
  <cols>
    <col min="1" max="1" width="8.85546875" style="218"/>
    <col min="2" max="17" width="10.28515625" style="218" customWidth="1"/>
    <col min="18" max="18" width="14" style="218" customWidth="1"/>
    <col min="19" max="23" width="10.28515625" style="218" customWidth="1"/>
    <col min="24" max="16384" width="8.85546875" style="218"/>
  </cols>
  <sheetData>
    <row r="1" spans="2:22">
      <c r="B1" s="355" t="s">
        <v>252</v>
      </c>
      <c r="C1" s="356"/>
      <c r="D1" s="356"/>
      <c r="E1" s="357"/>
      <c r="S1" s="355" t="s">
        <v>253</v>
      </c>
      <c r="T1" s="356"/>
      <c r="U1" s="357"/>
    </row>
    <row r="2" spans="2:22" ht="109.9" customHeight="1">
      <c r="B2" s="235" t="s">
        <v>254</v>
      </c>
      <c r="C2" s="236" t="s">
        <v>255</v>
      </c>
      <c r="D2" s="236" t="s">
        <v>256</v>
      </c>
      <c r="E2" s="236" t="s">
        <v>257</v>
      </c>
      <c r="F2" s="236" t="s">
        <v>258</v>
      </c>
      <c r="G2" s="236" t="s">
        <v>259</v>
      </c>
      <c r="H2" s="236" t="s">
        <v>260</v>
      </c>
      <c r="I2" s="236" t="s">
        <v>261</v>
      </c>
      <c r="J2" s="236" t="s">
        <v>262</v>
      </c>
      <c r="K2" s="236" t="s">
        <v>263</v>
      </c>
      <c r="L2" s="236" t="s">
        <v>264</v>
      </c>
      <c r="M2" s="236" t="s">
        <v>265</v>
      </c>
      <c r="N2" s="236" t="s">
        <v>266</v>
      </c>
      <c r="O2" s="236" t="s">
        <v>267</v>
      </c>
      <c r="P2" s="236" t="s">
        <v>268</v>
      </c>
      <c r="Q2" s="237" t="s">
        <v>269</v>
      </c>
      <c r="R2" s="222" t="s">
        <v>270</v>
      </c>
      <c r="S2" s="219" t="s">
        <v>271</v>
      </c>
      <c r="T2" s="220" t="s">
        <v>272</v>
      </c>
      <c r="U2" s="221" t="s">
        <v>273</v>
      </c>
    </row>
    <row r="3" spans="2:22">
      <c r="B3" s="238">
        <v>40</v>
      </c>
      <c r="C3" s="239">
        <v>0</v>
      </c>
      <c r="D3" s="239">
        <v>4</v>
      </c>
      <c r="E3" s="239">
        <v>0.2</v>
      </c>
      <c r="F3" s="239">
        <v>0.5</v>
      </c>
      <c r="G3" s="239">
        <v>8.3000000000000007</v>
      </c>
      <c r="H3" s="239">
        <v>0.25</v>
      </c>
      <c r="I3" s="239">
        <v>8</v>
      </c>
      <c r="J3" s="239">
        <v>0.3</v>
      </c>
      <c r="K3" s="239">
        <v>8.1</v>
      </c>
      <c r="L3" s="239">
        <v>8.0500000000000007</v>
      </c>
      <c r="M3" s="239"/>
      <c r="N3" s="239"/>
      <c r="O3" s="239"/>
      <c r="P3" s="239"/>
      <c r="Q3" s="240">
        <v>1.4</v>
      </c>
      <c r="R3" s="225"/>
      <c r="S3" s="226">
        <f>IF(B3&lt;=8,8,IF(B3&lt;32,B3,32))</f>
        <v>32</v>
      </c>
      <c r="T3" s="227">
        <f>IF(G3/1000,(2*G3/1000+(S3-2)*SUM(I3/1000,K3/1000,L3/1000)/3),"N/A")</f>
        <v>0.25809999999999994</v>
      </c>
      <c r="U3" s="224">
        <f>(5*(Table1[[#This Row],[Vesion 2.0 Daily Job Energy (kWh)]]+(2*Table1[[#This Row],[Step 10: "Final Interval" Energy (Wh)]]/1000)+(24-Table1[[#This Row],[Number of Jobs]]*0.25-2*Table1[[#This Row],[Step 10: "Final Interval" Time (min)]]/60)*IFERROR(IF(Table1[[#This Row],[Step 5: "Sleep Interval" Energy (Wh)]]/1000,Table1[[#This Row],[Step 5: "Sleep Interval" Energy (Wh)]]/1000,Table1[[#This Row],[Step 11: "Auto-off Interval" Energy (Wh)]]/1000/Table1[[#This Row],[Step 11: "Auto-off Interval" Time (min)]]/60),0))+48*IFERROR(IF(Table1[[#This Row],[Step 5: "Sleep Interval" Energy (Wh)]]/1000,Table1[[#This Row],[Step 5: "Sleep Interval" Energy (Wh)]]/1000,Table1[[#This Row],[Step 11: "Auto-off Interval" Energy (Wh)]]/1000/Table1[[#This Row],[Step 11: "Auto-off Interval" Time (min)]]/60),0))</f>
        <v>1.3544999999999998</v>
      </c>
    </row>
    <row r="4" spans="2:22">
      <c r="B4" s="228"/>
      <c r="C4" s="229"/>
      <c r="D4" s="229"/>
      <c r="E4" s="229"/>
      <c r="F4" s="229"/>
      <c r="G4" s="229"/>
      <c r="H4" s="229"/>
      <c r="I4" s="229"/>
      <c r="J4" s="229"/>
      <c r="K4" s="229"/>
      <c r="L4" s="229"/>
      <c r="M4" s="229"/>
      <c r="N4" s="229"/>
      <c r="O4" s="229"/>
      <c r="P4" s="229"/>
      <c r="Q4" s="230"/>
      <c r="R4" s="231"/>
      <c r="S4" s="229"/>
      <c r="T4" s="229"/>
      <c r="U4" s="230"/>
    </row>
    <row r="6" spans="2:22">
      <c r="B6" s="355" t="s">
        <v>274</v>
      </c>
      <c r="C6" s="356"/>
      <c r="D6" s="356"/>
      <c r="E6" s="357"/>
      <c r="S6" s="358" t="s">
        <v>275</v>
      </c>
      <c r="T6" s="359"/>
      <c r="U6" s="360"/>
    </row>
    <row r="7" spans="2:22" ht="60">
      <c r="B7" s="219" t="s">
        <v>254</v>
      </c>
      <c r="C7" s="220" t="s">
        <v>255</v>
      </c>
      <c r="D7" s="220" t="s">
        <v>256</v>
      </c>
      <c r="E7" s="220" t="s">
        <v>276</v>
      </c>
      <c r="F7" s="220" t="s">
        <v>258</v>
      </c>
      <c r="G7" s="220" t="s">
        <v>259</v>
      </c>
      <c r="H7" s="220" t="s">
        <v>277</v>
      </c>
      <c r="I7" s="220" t="s">
        <v>261</v>
      </c>
      <c r="J7" s="220" t="s">
        <v>278</v>
      </c>
      <c r="K7" s="220" t="s">
        <v>263</v>
      </c>
      <c r="L7" s="220" t="s">
        <v>264</v>
      </c>
      <c r="M7" s="220" t="s">
        <v>265</v>
      </c>
      <c r="N7" s="220" t="s">
        <v>266</v>
      </c>
      <c r="O7" s="220" t="s">
        <v>267</v>
      </c>
      <c r="P7" s="220" t="s">
        <v>268</v>
      </c>
      <c r="Q7" s="221" t="s">
        <v>279</v>
      </c>
      <c r="R7" s="222" t="s">
        <v>270</v>
      </c>
      <c r="S7" s="219" t="s">
        <v>271</v>
      </c>
      <c r="T7" s="220" t="s">
        <v>280</v>
      </c>
      <c r="U7" s="220" t="s">
        <v>281</v>
      </c>
      <c r="V7" s="221" t="s">
        <v>282</v>
      </c>
    </row>
    <row r="8" spans="2:22">
      <c r="B8" s="223">
        <f t="shared" ref="B8:B9" si="0">IF(ISNUMBER(B3),B3,"")</f>
        <v>40</v>
      </c>
      <c r="C8" s="232">
        <f t="shared" ref="C8:D8" si="1">C3</f>
        <v>0</v>
      </c>
      <c r="D8" s="232">
        <f t="shared" si="1"/>
        <v>4</v>
      </c>
      <c r="E8" s="232">
        <f t="shared" ref="E8" si="2">E3*60</f>
        <v>12</v>
      </c>
      <c r="F8" s="232">
        <f t="shared" ref="F8:G8" si="3">F3</f>
        <v>0.5</v>
      </c>
      <c r="G8" s="232">
        <f t="shared" si="3"/>
        <v>8.3000000000000007</v>
      </c>
      <c r="H8" s="232">
        <f t="shared" ref="H8" si="4">H3*60</f>
        <v>15</v>
      </c>
      <c r="I8" s="232">
        <f t="shared" ref="I8" si="5">I3</f>
        <v>8</v>
      </c>
      <c r="J8" s="232">
        <f t="shared" ref="J8" si="6">J3*60</f>
        <v>18</v>
      </c>
      <c r="K8" s="232">
        <f t="shared" ref="K8:P8" si="7">K3</f>
        <v>8.1</v>
      </c>
      <c r="L8" s="232">
        <f t="shared" si="7"/>
        <v>8.0500000000000007</v>
      </c>
      <c r="M8" s="232">
        <f t="shared" si="7"/>
        <v>0</v>
      </c>
      <c r="N8" s="232">
        <f t="shared" si="7"/>
        <v>0</v>
      </c>
      <c r="O8" s="232">
        <f t="shared" si="7"/>
        <v>0</v>
      </c>
      <c r="P8" s="232">
        <f t="shared" si="7"/>
        <v>0</v>
      </c>
      <c r="Q8" s="241">
        <f>Table2[[#This Row],[Version 3.0 TEC2018 (kWh/wk)]]</f>
        <v>0.4016249999999999</v>
      </c>
      <c r="R8" s="225"/>
      <c r="S8" s="226">
        <f>IF(B8&lt;=8,8,IF(B8&lt;32,B8,32))</f>
        <v>32</v>
      </c>
      <c r="T8" s="233">
        <f>IF(G8/1000,(2*G8/1000+(S8-2)*SUM(I8/1000,K8/1000,L8/1000)/3)/4,"N/A")</f>
        <v>6.4524999999999985E-2</v>
      </c>
      <c r="U8" s="233">
        <f>(5*(Table2[[#This Row],[Version 3.0 Daily Job Energy (kWh)]]+(2*Table2[[#This Row],[Step 10: "Final Interval" Energy (Wh)]]/1000)+(24-Table2[[#This Row],[Number of Jobs]]/16-2*Table2[[#This Row],[Step 10: "Final Interval" Time (min)]]/60)*IFERROR(IF(Table2[[#This Row],[Step 5: "Sleep Interval" Energy (Wh)]]/1000,Table2[[#This Row],[Step 5: "Sleep Interval" Energy (Wh)]]/1000,Table2[[#This Row],[Step 11: "Auto-off Interval" Energy (Wh)]]/1000/Table2[[#This Row],[Step 11: "Auto-off Interval" Time (min)]]/60),0))+48*IFERROR(IF(Table2[[#This Row],[Step 5: "Sleep Interval" Energy (Wh)]]/1000,Table2[[#This Row],[Step 5: "Sleep Interval" Energy (Wh)]]/1000,Table2[[#This Row],[Step 11: "Auto-off Interval" Energy (Wh)]]/1000/Table2[[#This Row],[Step 11: "Auto-off Interval" Time (min)]]/60),0))</f>
        <v>0.4016249999999999</v>
      </c>
      <c r="V8" s="224">
        <f t="shared" ref="V8" si="8">U8*52</f>
        <v>20.884499999999996</v>
      </c>
    </row>
    <row r="9" spans="2:22">
      <c r="B9" s="228" t="str">
        <f t="shared" si="0"/>
        <v/>
      </c>
      <c r="C9" s="229"/>
      <c r="D9" s="229"/>
      <c r="E9" s="229"/>
      <c r="F9" s="229"/>
      <c r="G9" s="229"/>
      <c r="H9" s="229"/>
      <c r="I9" s="229"/>
      <c r="J9" s="229"/>
      <c r="K9" s="229"/>
      <c r="L9" s="229"/>
      <c r="M9" s="229"/>
      <c r="N9" s="229"/>
      <c r="O9" s="229"/>
      <c r="P9" s="229"/>
      <c r="Q9" s="230"/>
      <c r="R9" s="231"/>
      <c r="S9" s="229"/>
      <c r="T9" s="229"/>
      <c r="U9" s="234"/>
      <c r="V9" s="234"/>
    </row>
    <row r="13" spans="2:22" ht="13.5" thickBot="1"/>
    <row r="14" spans="2:22">
      <c r="B14" s="361" t="s">
        <v>283</v>
      </c>
      <c r="C14" s="362"/>
      <c r="D14" s="362"/>
      <c r="E14" s="362"/>
      <c r="F14" s="362"/>
      <c r="G14" s="362"/>
      <c r="H14" s="362"/>
      <c r="I14" s="362"/>
      <c r="J14" s="362"/>
      <c r="K14" s="362"/>
      <c r="L14" s="363"/>
    </row>
    <row r="15" spans="2:22">
      <c r="B15" s="364"/>
      <c r="C15" s="365"/>
      <c r="D15" s="365"/>
      <c r="E15" s="365"/>
      <c r="F15" s="365"/>
      <c r="G15" s="365"/>
      <c r="H15" s="365"/>
      <c r="I15" s="365"/>
      <c r="J15" s="365"/>
      <c r="K15" s="365"/>
      <c r="L15" s="366"/>
    </row>
    <row r="16" spans="2:22">
      <c r="B16" s="364"/>
      <c r="C16" s="365"/>
      <c r="D16" s="365"/>
      <c r="E16" s="365"/>
      <c r="F16" s="365"/>
      <c r="G16" s="365"/>
      <c r="H16" s="365"/>
      <c r="I16" s="365"/>
      <c r="J16" s="365"/>
      <c r="K16" s="365"/>
      <c r="L16" s="366"/>
    </row>
    <row r="17" spans="2:12">
      <c r="B17" s="346" t="s">
        <v>284</v>
      </c>
      <c r="C17" s="347"/>
      <c r="D17" s="347"/>
      <c r="E17" s="347"/>
      <c r="F17" s="347"/>
      <c r="G17" s="347"/>
      <c r="H17" s="347"/>
      <c r="I17" s="347"/>
      <c r="J17" s="347"/>
      <c r="K17" s="347"/>
      <c r="L17" s="348"/>
    </row>
    <row r="18" spans="2:12">
      <c r="B18" s="349"/>
      <c r="C18" s="350"/>
      <c r="D18" s="350"/>
      <c r="E18" s="350"/>
      <c r="F18" s="350"/>
      <c r="G18" s="350"/>
      <c r="H18" s="350"/>
      <c r="I18" s="350"/>
      <c r="J18" s="350"/>
      <c r="K18" s="350"/>
      <c r="L18" s="351"/>
    </row>
    <row r="19" spans="2:12">
      <c r="B19" s="349"/>
      <c r="C19" s="350"/>
      <c r="D19" s="350"/>
      <c r="E19" s="350"/>
      <c r="F19" s="350"/>
      <c r="G19" s="350"/>
      <c r="H19" s="350"/>
      <c r="I19" s="350"/>
      <c r="J19" s="350"/>
      <c r="K19" s="350"/>
      <c r="L19" s="351"/>
    </row>
    <row r="20" spans="2:12">
      <c r="B20" s="349"/>
      <c r="C20" s="350"/>
      <c r="D20" s="350"/>
      <c r="E20" s="350"/>
      <c r="F20" s="350"/>
      <c r="G20" s="350"/>
      <c r="H20" s="350"/>
      <c r="I20" s="350"/>
      <c r="J20" s="350"/>
      <c r="K20" s="350"/>
      <c r="L20" s="351"/>
    </row>
    <row r="21" spans="2:12">
      <c r="B21" s="349"/>
      <c r="C21" s="350"/>
      <c r="D21" s="350"/>
      <c r="E21" s="350"/>
      <c r="F21" s="350"/>
      <c r="G21" s="350"/>
      <c r="H21" s="350"/>
      <c r="I21" s="350"/>
      <c r="J21" s="350"/>
      <c r="K21" s="350"/>
      <c r="L21" s="351"/>
    </row>
    <row r="22" spans="2:12">
      <c r="B22" s="349"/>
      <c r="C22" s="350"/>
      <c r="D22" s="350"/>
      <c r="E22" s="350"/>
      <c r="F22" s="350"/>
      <c r="G22" s="350"/>
      <c r="H22" s="350"/>
      <c r="I22" s="350"/>
      <c r="J22" s="350"/>
      <c r="K22" s="350"/>
      <c r="L22" s="351"/>
    </row>
    <row r="23" spans="2:12">
      <c r="B23" s="349"/>
      <c r="C23" s="350"/>
      <c r="D23" s="350"/>
      <c r="E23" s="350"/>
      <c r="F23" s="350"/>
      <c r="G23" s="350"/>
      <c r="H23" s="350"/>
      <c r="I23" s="350"/>
      <c r="J23" s="350"/>
      <c r="K23" s="350"/>
      <c r="L23" s="351"/>
    </row>
    <row r="24" spans="2:12">
      <c r="B24" s="349"/>
      <c r="C24" s="350"/>
      <c r="D24" s="350"/>
      <c r="E24" s="350"/>
      <c r="F24" s="350"/>
      <c r="G24" s="350"/>
      <c r="H24" s="350"/>
      <c r="I24" s="350"/>
      <c r="J24" s="350"/>
      <c r="K24" s="350"/>
      <c r="L24" s="351"/>
    </row>
    <row r="25" spans="2:12">
      <c r="B25" s="349"/>
      <c r="C25" s="350"/>
      <c r="D25" s="350"/>
      <c r="E25" s="350"/>
      <c r="F25" s="350"/>
      <c r="G25" s="350"/>
      <c r="H25" s="350"/>
      <c r="I25" s="350"/>
      <c r="J25" s="350"/>
      <c r="K25" s="350"/>
      <c r="L25" s="351"/>
    </row>
    <row r="26" spans="2:12">
      <c r="B26" s="349"/>
      <c r="C26" s="350"/>
      <c r="D26" s="350"/>
      <c r="E26" s="350"/>
      <c r="F26" s="350"/>
      <c r="G26" s="350"/>
      <c r="H26" s="350"/>
      <c r="I26" s="350"/>
      <c r="J26" s="350"/>
      <c r="K26" s="350"/>
      <c r="L26" s="351"/>
    </row>
    <row r="27" spans="2:12">
      <c r="B27" s="349"/>
      <c r="C27" s="350"/>
      <c r="D27" s="350"/>
      <c r="E27" s="350"/>
      <c r="F27" s="350"/>
      <c r="G27" s="350"/>
      <c r="H27" s="350"/>
      <c r="I27" s="350"/>
      <c r="J27" s="350"/>
      <c r="K27" s="350"/>
      <c r="L27" s="351"/>
    </row>
    <row r="28" spans="2:12">
      <c r="B28" s="349"/>
      <c r="C28" s="350"/>
      <c r="D28" s="350"/>
      <c r="E28" s="350"/>
      <c r="F28" s="350"/>
      <c r="G28" s="350"/>
      <c r="H28" s="350"/>
      <c r="I28" s="350"/>
      <c r="J28" s="350"/>
      <c r="K28" s="350"/>
      <c r="L28" s="351"/>
    </row>
    <row r="29" spans="2:12">
      <c r="B29" s="352"/>
      <c r="C29" s="353"/>
      <c r="D29" s="353"/>
      <c r="E29" s="353"/>
      <c r="F29" s="353"/>
      <c r="G29" s="353"/>
      <c r="H29" s="353"/>
      <c r="I29" s="353"/>
      <c r="J29" s="353"/>
      <c r="K29" s="353"/>
      <c r="L29" s="354"/>
    </row>
  </sheetData>
  <sheetProtection algorithmName="SHA-512" hashValue="5unpQCJtlexIM6XOoGUItC8MVrqDE0rDhE1x/HQByYAjq2AkgQzdpbZljaNjGxCPfHQBSnbnuPfDuBqeOdYf1w==" saltValue="/NQsZmHi1a/SRY45xC+m9A==" spinCount="100000" sheet="1" objects="1" scenarios="1"/>
  <mergeCells count="6">
    <mergeCell ref="B17:L29"/>
    <mergeCell ref="B1:E1"/>
    <mergeCell ref="S1:U1"/>
    <mergeCell ref="B6:E6"/>
    <mergeCell ref="S6:U6"/>
    <mergeCell ref="B14:L16"/>
  </mergeCells>
  <pageMargins left="0.7" right="0.7" top="0.75" bottom="0.75" header="0.3" footer="0.3"/>
  <pageSetup orientation="portrait" horizontalDpi="1200" verticalDpi="1200"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66CE5-13F7-448C-AAD3-5C13A70B3430}">
  <sheetPr>
    <pageSetUpPr fitToPage="1"/>
  </sheetPr>
  <dimension ref="A1:E152"/>
  <sheetViews>
    <sheetView zoomScale="80" zoomScaleNormal="80" workbookViewId="0">
      <selection activeCell="E24" sqref="E24"/>
    </sheetView>
  </sheetViews>
  <sheetFormatPr baseColWidth="10" defaultColWidth="13.140625" defaultRowHeight="15.75"/>
  <cols>
    <col min="1" max="1" width="16" style="256" customWidth="1"/>
    <col min="2" max="3" width="13.85546875" style="256" bestFit="1" customWidth="1"/>
    <col min="4" max="4" width="13.7109375" style="256" bestFit="1" customWidth="1"/>
    <col min="5" max="5" width="14.28515625" style="256" bestFit="1" customWidth="1"/>
    <col min="6" max="16384" width="13.140625" style="256"/>
  </cols>
  <sheetData>
    <row r="1" spans="1:5">
      <c r="B1" s="255" t="s">
        <v>344</v>
      </c>
      <c r="C1" s="257" t="s">
        <v>346</v>
      </c>
      <c r="D1" s="256" t="s">
        <v>347</v>
      </c>
      <c r="E1" s="256" t="s">
        <v>348</v>
      </c>
    </row>
    <row r="2" spans="1:5" s="255" customFormat="1" ht="47.25">
      <c r="A2" s="254" t="s">
        <v>342</v>
      </c>
      <c r="B2" s="254" t="s">
        <v>343</v>
      </c>
      <c r="C2" s="254" t="s">
        <v>345</v>
      </c>
      <c r="D2" s="254" t="s">
        <v>345</v>
      </c>
      <c r="E2" s="254" t="s">
        <v>345</v>
      </c>
    </row>
    <row r="3" spans="1:5">
      <c r="A3" s="256">
        <v>1</v>
      </c>
      <c r="B3" s="256">
        <v>0.254</v>
      </c>
      <c r="C3" s="256">
        <v>0.27500000000000002</v>
      </c>
      <c r="D3" s="256">
        <v>0.26300000000000001</v>
      </c>
      <c r="E3" s="256">
        <v>0.22600000000000001</v>
      </c>
    </row>
    <row r="4" spans="1:5">
      <c r="A4" s="256">
        <v>2</v>
      </c>
      <c r="B4" s="256">
        <v>0.254</v>
      </c>
      <c r="C4" s="256">
        <v>0.27500000000000002</v>
      </c>
      <c r="D4" s="256">
        <v>0.26300000000000001</v>
      </c>
      <c r="E4" s="256">
        <v>0.22600000000000001</v>
      </c>
    </row>
    <row r="5" spans="1:5">
      <c r="A5" s="256">
        <v>3</v>
      </c>
      <c r="B5" s="256">
        <v>0.254</v>
      </c>
      <c r="C5" s="256">
        <v>0.27500000000000002</v>
      </c>
      <c r="D5" s="256">
        <v>0.26300000000000001</v>
      </c>
      <c r="E5" s="256">
        <v>0.22600000000000001</v>
      </c>
    </row>
    <row r="6" spans="1:5">
      <c r="A6" s="256">
        <v>4</v>
      </c>
      <c r="B6" s="256">
        <v>0.254</v>
      </c>
      <c r="C6" s="256">
        <v>0.27500000000000002</v>
      </c>
      <c r="D6" s="256">
        <v>0.26300000000000001</v>
      </c>
      <c r="E6" s="256">
        <v>0.22600000000000001</v>
      </c>
    </row>
    <row r="7" spans="1:5">
      <c r="A7" s="256">
        <v>5</v>
      </c>
      <c r="B7" s="256">
        <v>0.254</v>
      </c>
      <c r="C7" s="256">
        <v>0.27500000000000002</v>
      </c>
      <c r="D7" s="256">
        <v>0.26300000000000001</v>
      </c>
      <c r="E7" s="256">
        <v>0.22600000000000001</v>
      </c>
    </row>
    <row r="8" spans="1:5">
      <c r="A8" s="256">
        <v>6</v>
      </c>
      <c r="B8" s="256">
        <v>0.254</v>
      </c>
      <c r="C8" s="256">
        <v>0.27500000000000002</v>
      </c>
      <c r="D8" s="256">
        <v>0.26300000000000001</v>
      </c>
      <c r="E8" s="256">
        <v>0.22600000000000001</v>
      </c>
    </row>
    <row r="9" spans="1:5">
      <c r="A9" s="256">
        <v>7</v>
      </c>
      <c r="B9" s="256">
        <v>0.254</v>
      </c>
      <c r="C9" s="256">
        <v>0.27500000000000002</v>
      </c>
      <c r="D9" s="256">
        <v>0.26300000000000001</v>
      </c>
      <c r="E9" s="256">
        <v>0.22600000000000001</v>
      </c>
    </row>
    <row r="10" spans="1:5">
      <c r="A10" s="256">
        <v>8</v>
      </c>
      <c r="B10" s="256">
        <v>0.254</v>
      </c>
      <c r="C10" s="256">
        <v>0.27500000000000002</v>
      </c>
      <c r="D10" s="256">
        <v>0.26300000000000001</v>
      </c>
      <c r="E10" s="256">
        <v>0.22600000000000001</v>
      </c>
    </row>
    <row r="11" spans="1:5">
      <c r="A11" s="256">
        <v>9</v>
      </c>
      <c r="B11" s="256">
        <v>0.254</v>
      </c>
      <c r="C11" s="256">
        <v>0.27500000000000002</v>
      </c>
      <c r="D11" s="256">
        <v>0.26300000000000001</v>
      </c>
      <c r="E11" s="256">
        <v>0.22600000000000001</v>
      </c>
    </row>
    <row r="12" spans="1:5">
      <c r="A12" s="256">
        <v>10</v>
      </c>
      <c r="B12" s="256">
        <v>0.254</v>
      </c>
      <c r="C12" s="256">
        <v>0.27500000000000002</v>
      </c>
      <c r="D12" s="256">
        <v>0.26300000000000001</v>
      </c>
      <c r="E12" s="256">
        <v>0.22600000000000001</v>
      </c>
    </row>
    <row r="13" spans="1:5">
      <c r="A13" s="256">
        <v>11</v>
      </c>
      <c r="B13" s="256">
        <v>0.254</v>
      </c>
      <c r="C13" s="256">
        <v>0.27500000000000002</v>
      </c>
      <c r="D13" s="256">
        <v>0.26300000000000001</v>
      </c>
      <c r="E13" s="256">
        <v>0.22600000000000001</v>
      </c>
    </row>
    <row r="14" spans="1:5">
      <c r="A14" s="256">
        <v>12</v>
      </c>
      <c r="B14" s="256">
        <v>0.254</v>
      </c>
      <c r="C14" s="256">
        <v>0.27500000000000002</v>
      </c>
      <c r="D14" s="256">
        <v>0.26300000000000001</v>
      </c>
      <c r="E14" s="256">
        <v>0.22600000000000001</v>
      </c>
    </row>
    <row r="15" spans="1:5">
      <c r="A15" s="256">
        <v>13</v>
      </c>
      <c r="B15" s="256">
        <v>0.254</v>
      </c>
      <c r="C15" s="256">
        <v>0.27500000000000002</v>
      </c>
      <c r="D15" s="256">
        <v>0.26300000000000001</v>
      </c>
      <c r="E15" s="256">
        <v>0.22600000000000001</v>
      </c>
    </row>
    <row r="16" spans="1:5">
      <c r="A16" s="256">
        <v>14</v>
      </c>
      <c r="B16" s="256">
        <v>0.254</v>
      </c>
      <c r="C16" s="256">
        <v>0.27500000000000002</v>
      </c>
      <c r="D16" s="256">
        <v>0.26300000000000001</v>
      </c>
      <c r="E16" s="256">
        <v>0.22600000000000001</v>
      </c>
    </row>
    <row r="17" spans="1:5">
      <c r="A17" s="256">
        <v>15</v>
      </c>
      <c r="B17" s="256">
        <v>0.254</v>
      </c>
      <c r="C17" s="256">
        <v>0.27500000000000002</v>
      </c>
      <c r="D17" s="256">
        <v>0.26300000000000001</v>
      </c>
      <c r="E17" s="256">
        <v>0.22600000000000001</v>
      </c>
    </row>
    <row r="18" spans="1:5">
      <c r="A18" s="256">
        <v>16</v>
      </c>
      <c r="B18" s="256">
        <v>0.254</v>
      </c>
      <c r="C18" s="256">
        <v>0.27500000000000002</v>
      </c>
      <c r="D18" s="256">
        <v>0.26300000000000001</v>
      </c>
      <c r="E18" s="256">
        <v>0.22600000000000001</v>
      </c>
    </row>
    <row r="19" spans="1:5">
      <c r="A19" s="256">
        <v>17</v>
      </c>
      <c r="B19" s="256">
        <v>0.254</v>
      </c>
      <c r="C19" s="256">
        <v>0.27500000000000002</v>
      </c>
      <c r="D19" s="256">
        <v>0.26300000000000001</v>
      </c>
      <c r="E19" s="256">
        <v>0.22600000000000001</v>
      </c>
    </row>
    <row r="20" spans="1:5">
      <c r="A20" s="256">
        <v>18</v>
      </c>
      <c r="B20" s="256">
        <v>0.254</v>
      </c>
      <c r="C20" s="256">
        <v>0.27500000000000002</v>
      </c>
      <c r="D20" s="256">
        <v>0.26300000000000001</v>
      </c>
      <c r="E20" s="256">
        <v>0.22600000000000001</v>
      </c>
    </row>
    <row r="21" spans="1:5">
      <c r="A21" s="256">
        <v>19</v>
      </c>
      <c r="B21" s="256">
        <v>0.254</v>
      </c>
      <c r="C21" s="256">
        <v>0.27500000000000002</v>
      </c>
      <c r="D21" s="256">
        <v>0.26300000000000001</v>
      </c>
      <c r="E21" s="256">
        <v>0.22600000000000001</v>
      </c>
    </row>
    <row r="22" spans="1:5">
      <c r="A22" s="256">
        <v>20</v>
      </c>
      <c r="B22" s="256">
        <v>0.254</v>
      </c>
      <c r="C22" s="256">
        <v>0.27500000000000002</v>
      </c>
      <c r="D22" s="256">
        <v>0.26300000000000001</v>
      </c>
      <c r="E22" s="256">
        <v>0.22600000000000001</v>
      </c>
    </row>
    <row r="23" spans="1:5">
      <c r="A23" s="256">
        <v>21</v>
      </c>
      <c r="B23" s="256">
        <v>0.254</v>
      </c>
      <c r="C23" s="256">
        <v>0.27500000000000002</v>
      </c>
      <c r="D23" s="256">
        <v>0.26299999999999996</v>
      </c>
      <c r="E23" s="256">
        <v>0.22599999999999995</v>
      </c>
    </row>
    <row r="24" spans="1:5">
      <c r="A24" s="256">
        <v>22</v>
      </c>
      <c r="B24" s="256">
        <v>0.27800000000000002</v>
      </c>
      <c r="C24" s="256">
        <v>0.30699999999999994</v>
      </c>
      <c r="D24" s="256">
        <v>0.28099999999999997</v>
      </c>
      <c r="E24" s="256">
        <v>0.24399999999999997</v>
      </c>
    </row>
    <row r="25" spans="1:5">
      <c r="A25" s="256">
        <v>23</v>
      </c>
      <c r="B25" s="256">
        <v>0.30200000000000005</v>
      </c>
      <c r="C25" s="256">
        <v>0.33899999999999997</v>
      </c>
      <c r="D25" s="256">
        <v>0.29899999999999999</v>
      </c>
      <c r="E25" s="256">
        <v>0.26200000000000001</v>
      </c>
    </row>
    <row r="26" spans="1:5">
      <c r="A26" s="256">
        <v>24</v>
      </c>
      <c r="B26" s="256">
        <v>0.32600000000000007</v>
      </c>
      <c r="C26" s="256">
        <v>0.371</v>
      </c>
      <c r="D26" s="256">
        <v>0.31699999999999995</v>
      </c>
      <c r="E26" s="256">
        <v>0.27999999999999992</v>
      </c>
    </row>
    <row r="27" spans="1:5">
      <c r="A27" s="256">
        <v>25</v>
      </c>
      <c r="B27" s="256">
        <v>0.35</v>
      </c>
      <c r="C27" s="256">
        <v>0.40300000000000002</v>
      </c>
      <c r="D27" s="256">
        <v>0.33499999999999996</v>
      </c>
      <c r="E27" s="256">
        <v>0.29799999999999993</v>
      </c>
    </row>
    <row r="28" spans="1:5">
      <c r="A28" s="256">
        <v>26</v>
      </c>
      <c r="B28" s="256">
        <v>0.374</v>
      </c>
      <c r="C28" s="256">
        <v>0.43500000000000005</v>
      </c>
      <c r="D28" s="256">
        <v>0.35299999999999998</v>
      </c>
      <c r="E28" s="256">
        <v>0.31599999999999995</v>
      </c>
    </row>
    <row r="29" spans="1:5">
      <c r="A29" s="256">
        <v>27</v>
      </c>
      <c r="B29" s="256">
        <v>0.39800000000000002</v>
      </c>
      <c r="C29" s="256">
        <v>0.46699999999999997</v>
      </c>
      <c r="D29" s="256">
        <v>0.371</v>
      </c>
      <c r="E29" s="256">
        <v>0.33399999999999996</v>
      </c>
    </row>
    <row r="30" spans="1:5">
      <c r="A30" s="256">
        <v>28</v>
      </c>
      <c r="B30" s="256">
        <v>0.42200000000000004</v>
      </c>
      <c r="C30" s="256">
        <v>0.499</v>
      </c>
      <c r="D30" s="256">
        <v>0.38900000000000001</v>
      </c>
      <c r="E30" s="256">
        <v>0.35199999999999998</v>
      </c>
    </row>
    <row r="31" spans="1:5">
      <c r="A31" s="256">
        <v>29</v>
      </c>
      <c r="B31" s="256">
        <v>0.44600000000000006</v>
      </c>
      <c r="C31" s="256">
        <v>0.53100000000000003</v>
      </c>
      <c r="D31" s="256">
        <v>0.40699999999999992</v>
      </c>
      <c r="E31" s="256">
        <v>0.36999999999999988</v>
      </c>
    </row>
    <row r="32" spans="1:5">
      <c r="A32" s="256">
        <v>30</v>
      </c>
      <c r="B32" s="256">
        <v>0.47</v>
      </c>
      <c r="C32" s="256">
        <v>0.56299999999999994</v>
      </c>
      <c r="D32" s="256">
        <v>0.42499999999999993</v>
      </c>
      <c r="E32" s="256">
        <v>0.3879999999999999</v>
      </c>
    </row>
    <row r="33" spans="1:5">
      <c r="A33" s="256">
        <v>31</v>
      </c>
      <c r="B33" s="256">
        <v>0.49399999999999999</v>
      </c>
      <c r="C33" s="256">
        <v>0.59499999999999997</v>
      </c>
      <c r="D33" s="256">
        <v>0.44299999999999995</v>
      </c>
      <c r="E33" s="256">
        <v>0.40599999999999992</v>
      </c>
    </row>
    <row r="34" spans="1:5">
      <c r="A34" s="256">
        <v>32</v>
      </c>
      <c r="B34" s="256">
        <v>0.51800000000000002</v>
      </c>
      <c r="C34" s="256">
        <v>0.627</v>
      </c>
      <c r="D34" s="256">
        <v>0.46099999999999997</v>
      </c>
      <c r="E34" s="256">
        <v>0.42399999999999993</v>
      </c>
    </row>
    <row r="35" spans="1:5">
      <c r="A35" s="256">
        <v>33</v>
      </c>
      <c r="B35" s="256">
        <v>0.54200000000000004</v>
      </c>
      <c r="C35" s="256">
        <v>0.65900000000000003</v>
      </c>
      <c r="D35" s="256">
        <v>0.47899999999999998</v>
      </c>
      <c r="E35" s="256">
        <v>0.44199999999999995</v>
      </c>
    </row>
    <row r="36" spans="1:5">
      <c r="A36" s="256">
        <v>34</v>
      </c>
      <c r="B36" s="256">
        <v>0.56600000000000006</v>
      </c>
      <c r="C36" s="256">
        <v>0.69100000000000006</v>
      </c>
      <c r="D36" s="256">
        <v>0.497</v>
      </c>
      <c r="E36" s="256">
        <v>0.45999999999999996</v>
      </c>
    </row>
    <row r="37" spans="1:5">
      <c r="A37" s="256">
        <v>35</v>
      </c>
      <c r="B37" s="256">
        <v>0.59</v>
      </c>
      <c r="C37" s="256">
        <v>0.72300000000000009</v>
      </c>
      <c r="D37" s="256">
        <v>0.51500000000000001</v>
      </c>
      <c r="E37" s="256">
        <v>0.47799999999999998</v>
      </c>
    </row>
    <row r="38" spans="1:5">
      <c r="A38" s="256">
        <v>36</v>
      </c>
      <c r="B38" s="256">
        <v>0.61399999999999999</v>
      </c>
      <c r="C38" s="256">
        <v>0.75500000000000012</v>
      </c>
      <c r="D38" s="256">
        <v>0.53299999999999992</v>
      </c>
      <c r="E38" s="256">
        <v>0.49599999999999989</v>
      </c>
    </row>
    <row r="39" spans="1:5">
      <c r="A39" s="256">
        <v>37</v>
      </c>
      <c r="B39" s="256">
        <v>0.63800000000000001</v>
      </c>
      <c r="C39" s="256">
        <v>0.78699999999999992</v>
      </c>
      <c r="D39" s="256">
        <v>0.55099999999999993</v>
      </c>
      <c r="E39" s="256">
        <v>0.5139999999999999</v>
      </c>
    </row>
    <row r="40" spans="1:5">
      <c r="A40" s="256">
        <v>38</v>
      </c>
      <c r="B40" s="256">
        <v>0.66200000000000003</v>
      </c>
      <c r="C40" s="256">
        <v>0.81899999999999995</v>
      </c>
      <c r="D40" s="256">
        <v>0.56899999999999995</v>
      </c>
      <c r="E40" s="256">
        <v>0.53199999999999992</v>
      </c>
    </row>
    <row r="41" spans="1:5">
      <c r="A41" s="256">
        <v>39</v>
      </c>
      <c r="B41" s="256">
        <v>0.68600000000000005</v>
      </c>
      <c r="C41" s="256">
        <v>0.85099999999999998</v>
      </c>
      <c r="D41" s="256">
        <v>0.58699999999999997</v>
      </c>
      <c r="E41" s="256">
        <v>0.54999999999999993</v>
      </c>
    </row>
    <row r="42" spans="1:5">
      <c r="A42" s="256">
        <v>40</v>
      </c>
      <c r="B42" s="256">
        <v>0.71</v>
      </c>
      <c r="C42" s="256">
        <v>0.88300000000000001</v>
      </c>
      <c r="D42" s="256">
        <v>0.60499999999999998</v>
      </c>
      <c r="E42" s="256">
        <v>0.56799999999999995</v>
      </c>
    </row>
    <row r="43" spans="1:5">
      <c r="A43" s="256">
        <v>41</v>
      </c>
      <c r="B43" s="256">
        <v>0.73399999999999999</v>
      </c>
      <c r="C43" s="256">
        <v>0.91499999999999992</v>
      </c>
      <c r="D43" s="256">
        <v>0.623</v>
      </c>
      <c r="E43" s="256">
        <v>0.58600000000000008</v>
      </c>
    </row>
    <row r="44" spans="1:5">
      <c r="A44" s="256">
        <v>42</v>
      </c>
      <c r="B44" s="256">
        <v>0.74499999999999988</v>
      </c>
      <c r="C44" s="256">
        <v>0.91699999999999993</v>
      </c>
      <c r="D44" s="256">
        <v>0.63900000000000001</v>
      </c>
      <c r="E44" s="256">
        <v>0.61099999999999999</v>
      </c>
    </row>
    <row r="45" spans="1:5">
      <c r="A45" s="256">
        <v>43</v>
      </c>
      <c r="B45" s="256">
        <v>0.75600000000000001</v>
      </c>
      <c r="C45" s="256">
        <v>0.91899999999999993</v>
      </c>
      <c r="D45" s="256">
        <v>0.65500000000000003</v>
      </c>
      <c r="E45" s="256">
        <v>0.6359999999999999</v>
      </c>
    </row>
    <row r="46" spans="1:5">
      <c r="A46" s="256">
        <v>44</v>
      </c>
      <c r="B46" s="256">
        <v>0.7669999999999999</v>
      </c>
      <c r="C46" s="256">
        <v>0.92099999999999993</v>
      </c>
      <c r="D46" s="256">
        <v>0.67099999999999993</v>
      </c>
      <c r="E46" s="256">
        <v>0.66100000000000003</v>
      </c>
    </row>
    <row r="47" spans="1:5">
      <c r="A47" s="256">
        <v>45</v>
      </c>
      <c r="B47" s="256">
        <v>0.77800000000000002</v>
      </c>
      <c r="C47" s="256">
        <v>0.92299999999999993</v>
      </c>
      <c r="D47" s="256">
        <v>0.68699999999999994</v>
      </c>
      <c r="E47" s="256">
        <v>0.68599999999999994</v>
      </c>
    </row>
    <row r="48" spans="1:5">
      <c r="A48" s="256">
        <v>46</v>
      </c>
      <c r="B48" s="256">
        <v>0.78899999999999992</v>
      </c>
      <c r="C48" s="256">
        <v>0.92499999999999993</v>
      </c>
      <c r="D48" s="256">
        <v>0.70299999999999996</v>
      </c>
      <c r="E48" s="256">
        <v>0.71100000000000008</v>
      </c>
    </row>
    <row r="49" spans="1:5">
      <c r="A49" s="256">
        <v>47</v>
      </c>
      <c r="B49" s="256">
        <v>0.8</v>
      </c>
      <c r="C49" s="256">
        <v>0.92699999999999994</v>
      </c>
      <c r="D49" s="256">
        <v>0.71899999999999997</v>
      </c>
      <c r="E49" s="256">
        <v>0.73599999999999999</v>
      </c>
    </row>
    <row r="50" spans="1:5">
      <c r="A50" s="256">
        <v>48</v>
      </c>
      <c r="B50" s="256">
        <v>0.81099999999999994</v>
      </c>
      <c r="C50" s="256">
        <v>0.92899999999999994</v>
      </c>
      <c r="D50" s="256">
        <v>0.73499999999999999</v>
      </c>
      <c r="E50" s="256">
        <v>0.76100000000000012</v>
      </c>
    </row>
    <row r="51" spans="1:5">
      <c r="A51" s="256">
        <v>49</v>
      </c>
      <c r="B51" s="256">
        <v>0.82199999999999984</v>
      </c>
      <c r="C51" s="256">
        <v>0.93099999999999994</v>
      </c>
      <c r="D51" s="256">
        <v>0.751</v>
      </c>
      <c r="E51" s="256">
        <v>0.78600000000000003</v>
      </c>
    </row>
    <row r="52" spans="1:5">
      <c r="A52" s="256">
        <v>50</v>
      </c>
      <c r="B52" s="256">
        <v>0.83299999999999996</v>
      </c>
      <c r="C52" s="256">
        <v>0.93299999999999994</v>
      </c>
      <c r="D52" s="256">
        <v>0.76700000000000002</v>
      </c>
      <c r="E52" s="256">
        <v>0.81099999999999994</v>
      </c>
    </row>
    <row r="53" spans="1:5">
      <c r="A53" s="256">
        <v>51</v>
      </c>
      <c r="B53" s="256">
        <v>0.84399999999999986</v>
      </c>
      <c r="C53" s="256">
        <v>0.93499999999999994</v>
      </c>
      <c r="D53" s="256">
        <v>0.78300000000000003</v>
      </c>
      <c r="E53" s="256">
        <v>0.83600000000000008</v>
      </c>
    </row>
    <row r="54" spans="1:5">
      <c r="A54" s="256">
        <v>52</v>
      </c>
      <c r="B54" s="256">
        <v>0.85499999999999998</v>
      </c>
      <c r="C54" s="256">
        <v>0.93699999999999994</v>
      </c>
      <c r="D54" s="256">
        <v>0.79900000000000004</v>
      </c>
      <c r="E54" s="256">
        <v>0.86099999999999999</v>
      </c>
    </row>
    <row r="55" spans="1:5">
      <c r="A55" s="256">
        <v>53</v>
      </c>
      <c r="B55" s="256">
        <v>0.86599999999999988</v>
      </c>
      <c r="C55" s="256">
        <v>0.93899999999999995</v>
      </c>
      <c r="D55" s="256">
        <v>0.81499999999999995</v>
      </c>
      <c r="E55" s="256">
        <v>0.88600000000000012</v>
      </c>
    </row>
    <row r="56" spans="1:5">
      <c r="A56" s="256">
        <v>54</v>
      </c>
      <c r="B56" s="256">
        <v>0.877</v>
      </c>
      <c r="C56" s="256">
        <v>0.94099999999999995</v>
      </c>
      <c r="D56" s="256">
        <v>0.83099999999999996</v>
      </c>
      <c r="E56" s="256">
        <v>0.91100000000000003</v>
      </c>
    </row>
    <row r="57" spans="1:5">
      <c r="A57" s="256">
        <v>55</v>
      </c>
      <c r="B57" s="256">
        <v>0.8879999999999999</v>
      </c>
      <c r="C57" s="256">
        <v>0.94299999999999995</v>
      </c>
      <c r="D57" s="256">
        <v>0.84699999999999998</v>
      </c>
      <c r="E57" s="256">
        <v>0.93599999999999994</v>
      </c>
    </row>
    <row r="58" spans="1:5">
      <c r="A58" s="256">
        <v>56</v>
      </c>
      <c r="B58" s="256">
        <v>0.89900000000000002</v>
      </c>
      <c r="C58" s="256">
        <v>0.94499999999999995</v>
      </c>
      <c r="D58" s="256">
        <v>0.86299999999999999</v>
      </c>
      <c r="E58" s="256">
        <v>0.96100000000000008</v>
      </c>
    </row>
    <row r="59" spans="1:5">
      <c r="A59" s="256">
        <v>57</v>
      </c>
      <c r="B59" s="256">
        <v>0.90999999999999992</v>
      </c>
      <c r="C59" s="256">
        <v>0.94699999999999995</v>
      </c>
      <c r="D59" s="256">
        <v>0.879</v>
      </c>
      <c r="E59" s="256">
        <v>0.98599999999999999</v>
      </c>
    </row>
    <row r="60" spans="1:5">
      <c r="A60" s="256">
        <v>58</v>
      </c>
      <c r="B60" s="256">
        <v>0.92100000000000004</v>
      </c>
      <c r="C60" s="256">
        <v>0.94899999999999995</v>
      </c>
      <c r="D60" s="256">
        <v>0.89500000000000002</v>
      </c>
      <c r="E60" s="256">
        <v>1.0110000000000001</v>
      </c>
    </row>
    <row r="61" spans="1:5">
      <c r="A61" s="256">
        <v>59</v>
      </c>
      <c r="B61" s="256">
        <v>0.93199999999999994</v>
      </c>
      <c r="C61" s="256">
        <v>0.95099999999999996</v>
      </c>
      <c r="D61" s="256">
        <v>0.91100000000000003</v>
      </c>
      <c r="E61" s="256">
        <v>1.036</v>
      </c>
    </row>
    <row r="62" spans="1:5">
      <c r="A62" s="256">
        <v>60</v>
      </c>
      <c r="B62" s="256">
        <v>0.94299999999999984</v>
      </c>
      <c r="C62" s="256">
        <v>0.95299999999999996</v>
      </c>
      <c r="D62" s="256">
        <v>0.92699999999999994</v>
      </c>
      <c r="E62" s="256">
        <v>1.0609999999999999</v>
      </c>
    </row>
    <row r="63" spans="1:5">
      <c r="A63" s="256">
        <v>61</v>
      </c>
      <c r="B63" s="256">
        <v>0.95400000000000018</v>
      </c>
      <c r="C63" s="256">
        <v>0.95500000000000096</v>
      </c>
      <c r="D63" s="256">
        <v>0.94299999999999962</v>
      </c>
      <c r="E63" s="256">
        <v>1.0860000000000003</v>
      </c>
    </row>
    <row r="64" spans="1:5">
      <c r="A64" s="256">
        <v>62</v>
      </c>
      <c r="B64" s="256">
        <v>1.0090000000000003</v>
      </c>
      <c r="C64" s="256">
        <v>1.0550000000000006</v>
      </c>
      <c r="D64" s="256">
        <v>0.98</v>
      </c>
      <c r="E64" s="256">
        <v>1.1350000000000002</v>
      </c>
    </row>
    <row r="65" spans="1:5">
      <c r="A65" s="256">
        <v>63</v>
      </c>
      <c r="B65" s="256">
        <v>1.0640000000000001</v>
      </c>
      <c r="C65" s="256">
        <v>1.1550000000000011</v>
      </c>
      <c r="D65" s="256">
        <v>1.0169999999999999</v>
      </c>
      <c r="E65" s="256">
        <v>1.1840000000000002</v>
      </c>
    </row>
    <row r="66" spans="1:5">
      <c r="A66" s="256">
        <v>64</v>
      </c>
      <c r="B66" s="256">
        <v>1.1190000000000002</v>
      </c>
      <c r="C66" s="256">
        <v>1.2550000000000008</v>
      </c>
      <c r="D66" s="256">
        <v>1.0539999999999998</v>
      </c>
      <c r="E66" s="256">
        <v>1.2330000000000001</v>
      </c>
    </row>
    <row r="67" spans="1:5">
      <c r="A67" s="256">
        <v>65</v>
      </c>
      <c r="B67" s="256">
        <v>1.1740000000000004</v>
      </c>
      <c r="C67" s="256">
        <v>1.3550000000000004</v>
      </c>
      <c r="D67" s="256">
        <v>1.0909999999999997</v>
      </c>
      <c r="E67" s="256">
        <v>1.282</v>
      </c>
    </row>
    <row r="68" spans="1:5">
      <c r="A68" s="256">
        <v>66</v>
      </c>
      <c r="B68" s="256">
        <v>1.2290000000000001</v>
      </c>
      <c r="C68" s="256">
        <v>1.455000000000001</v>
      </c>
      <c r="D68" s="256">
        <v>1.1279999999999997</v>
      </c>
      <c r="E68" s="256">
        <v>1.331</v>
      </c>
    </row>
    <row r="69" spans="1:5">
      <c r="A69" s="256">
        <v>67</v>
      </c>
      <c r="B69" s="256">
        <v>1.2840000000000003</v>
      </c>
      <c r="C69" s="256">
        <v>1.5550000000000006</v>
      </c>
      <c r="D69" s="256">
        <v>1.165</v>
      </c>
      <c r="E69" s="256">
        <v>1.38</v>
      </c>
    </row>
    <row r="70" spans="1:5">
      <c r="A70" s="256">
        <v>68</v>
      </c>
      <c r="B70" s="256">
        <v>1.3390000000000004</v>
      </c>
      <c r="C70" s="256">
        <v>1.6550000000000011</v>
      </c>
      <c r="D70" s="256">
        <v>1.202</v>
      </c>
      <c r="E70" s="256">
        <v>1.4290000000000003</v>
      </c>
    </row>
    <row r="71" spans="1:5">
      <c r="A71" s="256">
        <v>69</v>
      </c>
      <c r="B71" s="256">
        <v>1.3940000000000001</v>
      </c>
      <c r="C71" s="256">
        <v>1.7550000000000008</v>
      </c>
      <c r="D71" s="256">
        <v>1.2389999999999999</v>
      </c>
      <c r="E71" s="256">
        <v>1.4780000000000002</v>
      </c>
    </row>
    <row r="72" spans="1:5">
      <c r="A72" s="256">
        <v>70</v>
      </c>
      <c r="B72" s="256">
        <v>1.4490000000000003</v>
      </c>
      <c r="C72" s="256">
        <v>1.8550000000000004</v>
      </c>
      <c r="D72" s="256">
        <v>1.2759999999999998</v>
      </c>
      <c r="E72" s="256">
        <v>1.5270000000000001</v>
      </c>
    </row>
    <row r="73" spans="1:5">
      <c r="A73" s="256">
        <v>71</v>
      </c>
      <c r="B73" s="256">
        <v>1.504</v>
      </c>
      <c r="C73" s="256">
        <v>1.955000000000001</v>
      </c>
      <c r="D73" s="256">
        <v>1.3129999999999997</v>
      </c>
      <c r="E73" s="256">
        <v>1.5760000000000001</v>
      </c>
    </row>
    <row r="74" spans="1:5">
      <c r="A74" s="256">
        <v>72</v>
      </c>
      <c r="B74" s="256">
        <v>1.5590000000000002</v>
      </c>
      <c r="C74" s="256">
        <v>2.0550000000000006</v>
      </c>
      <c r="D74" s="256">
        <v>1.3499999999999996</v>
      </c>
      <c r="E74" s="256">
        <v>1.625</v>
      </c>
    </row>
    <row r="75" spans="1:5">
      <c r="A75" s="256">
        <v>73</v>
      </c>
      <c r="B75" s="256">
        <v>1.6139999999999999</v>
      </c>
      <c r="C75" s="256">
        <v>2.1550000000000011</v>
      </c>
      <c r="D75" s="256">
        <v>1.387</v>
      </c>
      <c r="E75" s="256">
        <v>1.6739999999999999</v>
      </c>
    </row>
    <row r="76" spans="1:5">
      <c r="A76" s="256">
        <v>74</v>
      </c>
      <c r="B76" s="256">
        <v>1.6690000000000005</v>
      </c>
      <c r="C76" s="256">
        <v>2.2550000000000008</v>
      </c>
      <c r="D76" s="256">
        <v>1.4239999999999999</v>
      </c>
      <c r="E76" s="256">
        <v>1.7230000000000003</v>
      </c>
    </row>
    <row r="77" spans="1:5">
      <c r="A77" s="256">
        <v>75</v>
      </c>
      <c r="B77" s="256">
        <v>1.7240000000000002</v>
      </c>
      <c r="C77" s="256">
        <v>2.3550000000000004</v>
      </c>
      <c r="D77" s="256">
        <v>1.4609999999999999</v>
      </c>
      <c r="E77" s="256">
        <v>1.7720000000000002</v>
      </c>
    </row>
    <row r="78" spans="1:5">
      <c r="A78" s="256">
        <v>76</v>
      </c>
      <c r="B78" s="256">
        <v>1.7789999999999999</v>
      </c>
      <c r="C78" s="256">
        <v>2.455000000000001</v>
      </c>
      <c r="D78" s="256">
        <v>1.4979999999999998</v>
      </c>
      <c r="E78" s="256">
        <v>1.8210000000000002</v>
      </c>
    </row>
    <row r="79" spans="1:5">
      <c r="A79" s="256">
        <v>77</v>
      </c>
      <c r="B79" s="256">
        <v>1.8340000000000005</v>
      </c>
      <c r="C79" s="256">
        <v>2.5550000000000006</v>
      </c>
      <c r="D79" s="256">
        <v>1.5349999999999997</v>
      </c>
      <c r="E79" s="256">
        <v>1.87</v>
      </c>
    </row>
    <row r="80" spans="1:5">
      <c r="A80" s="256">
        <v>78</v>
      </c>
      <c r="B80" s="256">
        <v>1.8890000000000002</v>
      </c>
      <c r="C80" s="256">
        <v>2.6550000000000011</v>
      </c>
      <c r="D80" s="256">
        <v>1.5719999999999996</v>
      </c>
      <c r="E80" s="256">
        <v>1.919</v>
      </c>
    </row>
    <row r="81" spans="1:5">
      <c r="A81" s="256">
        <v>79</v>
      </c>
      <c r="B81" s="256">
        <v>1.944</v>
      </c>
      <c r="C81" s="256">
        <v>2.7550000000000008</v>
      </c>
      <c r="D81" s="256">
        <v>1.609</v>
      </c>
      <c r="E81" s="256">
        <v>1.968</v>
      </c>
    </row>
    <row r="82" spans="1:5">
      <c r="A82" s="256">
        <v>80</v>
      </c>
      <c r="B82" s="256">
        <v>1.9990000000000006</v>
      </c>
      <c r="C82" s="256">
        <v>2.8550000000000004</v>
      </c>
      <c r="D82" s="256">
        <v>1.6459999999999999</v>
      </c>
      <c r="E82" s="256">
        <v>2.0169999999999999</v>
      </c>
    </row>
    <row r="83" spans="1:5">
      <c r="A83" s="256">
        <v>81</v>
      </c>
      <c r="B83" s="256">
        <v>2.0540000000000003</v>
      </c>
      <c r="C83" s="256">
        <v>2.9550000000000001</v>
      </c>
      <c r="D83" s="256">
        <v>1.6829999999999989</v>
      </c>
      <c r="E83" s="256">
        <v>2.0660000000000003</v>
      </c>
    </row>
    <row r="84" spans="1:5">
      <c r="A84" s="256">
        <v>82</v>
      </c>
      <c r="B84" s="256">
        <v>2.1720000000000006</v>
      </c>
      <c r="C84" s="256">
        <v>3.0550000000000015</v>
      </c>
      <c r="D84" s="256">
        <v>1.7689999999999992</v>
      </c>
      <c r="E84" s="256">
        <v>2.1149999999999998</v>
      </c>
    </row>
    <row r="85" spans="1:5">
      <c r="A85" s="256">
        <v>83</v>
      </c>
      <c r="B85" s="256">
        <v>2.2899999999999991</v>
      </c>
      <c r="C85" s="256">
        <v>3.1550000000000011</v>
      </c>
      <c r="D85" s="256">
        <v>1.8549999999999986</v>
      </c>
      <c r="E85" s="256">
        <v>2.1640000000000001</v>
      </c>
    </row>
    <row r="86" spans="1:5">
      <c r="A86" s="256">
        <v>84</v>
      </c>
      <c r="B86" s="256">
        <v>2.4079999999999995</v>
      </c>
      <c r="C86" s="256">
        <v>3.2550000000000008</v>
      </c>
      <c r="D86" s="256">
        <v>1.9409999999999989</v>
      </c>
      <c r="E86" s="256">
        <v>2.2130000000000005</v>
      </c>
    </row>
    <row r="87" spans="1:5">
      <c r="A87" s="256">
        <v>85</v>
      </c>
      <c r="B87" s="256">
        <v>2.5259999999999998</v>
      </c>
      <c r="C87" s="256">
        <v>3.3550000000000004</v>
      </c>
      <c r="D87" s="256">
        <v>2.0269999999999992</v>
      </c>
      <c r="E87" s="256">
        <v>2.262</v>
      </c>
    </row>
    <row r="88" spans="1:5">
      <c r="A88" s="256">
        <v>86</v>
      </c>
      <c r="B88" s="256">
        <v>2.6440000000000001</v>
      </c>
      <c r="C88" s="256">
        <v>3.4550000000000001</v>
      </c>
      <c r="D88" s="256">
        <v>2.1129999999999987</v>
      </c>
      <c r="E88" s="256">
        <v>2.3110000000000004</v>
      </c>
    </row>
    <row r="89" spans="1:5">
      <c r="A89" s="256">
        <v>87</v>
      </c>
      <c r="B89" s="256">
        <v>2.7620000000000005</v>
      </c>
      <c r="C89" s="256">
        <v>3.5550000000000015</v>
      </c>
      <c r="D89" s="256">
        <v>2.198999999999999</v>
      </c>
      <c r="E89" s="256">
        <v>2.36</v>
      </c>
    </row>
    <row r="90" spans="1:5">
      <c r="A90" s="256">
        <v>88</v>
      </c>
      <c r="B90" s="256">
        <v>2.8800000000000008</v>
      </c>
      <c r="C90" s="256">
        <v>3.6550000000000011</v>
      </c>
      <c r="D90" s="256">
        <v>2.2849999999999993</v>
      </c>
      <c r="E90" s="256">
        <v>2.4090000000000003</v>
      </c>
    </row>
    <row r="91" spans="1:5">
      <c r="A91" s="256">
        <v>89</v>
      </c>
      <c r="B91" s="256">
        <v>2.9979999999999993</v>
      </c>
      <c r="C91" s="256">
        <v>3.7550000000000008</v>
      </c>
      <c r="D91" s="256">
        <v>2.3709999999999987</v>
      </c>
      <c r="E91" s="256">
        <v>2.4579999999999997</v>
      </c>
    </row>
    <row r="92" spans="1:5">
      <c r="A92" s="256">
        <v>90</v>
      </c>
      <c r="B92" s="256">
        <v>3.1159999999999997</v>
      </c>
      <c r="C92" s="256">
        <v>3.8550000000000004</v>
      </c>
      <c r="D92" s="256">
        <v>2.456999999999999</v>
      </c>
      <c r="E92" s="256">
        <v>2.5070000000000001</v>
      </c>
    </row>
    <row r="93" spans="1:5">
      <c r="A93" s="256">
        <v>91</v>
      </c>
      <c r="B93" s="256">
        <v>3.234</v>
      </c>
      <c r="C93" s="256">
        <v>3.9550000000000001</v>
      </c>
      <c r="D93" s="256">
        <v>2.5429999999999993</v>
      </c>
      <c r="E93" s="256">
        <v>2.5560000000000005</v>
      </c>
    </row>
    <row r="94" spans="1:5">
      <c r="A94" s="256">
        <v>92</v>
      </c>
      <c r="B94" s="256">
        <v>3.3520000000000003</v>
      </c>
      <c r="C94" s="256">
        <v>4.0550000000000015</v>
      </c>
      <c r="D94" s="256">
        <v>2.6289999999999987</v>
      </c>
      <c r="E94" s="256">
        <v>2.605</v>
      </c>
    </row>
    <row r="95" spans="1:5">
      <c r="A95" s="256">
        <v>93</v>
      </c>
      <c r="B95" s="256">
        <v>3.4700000000000006</v>
      </c>
      <c r="C95" s="256">
        <v>4.1550000000000011</v>
      </c>
      <c r="D95" s="256">
        <v>2.714999999999999</v>
      </c>
      <c r="E95" s="256">
        <v>2.6540000000000004</v>
      </c>
    </row>
    <row r="96" spans="1:5">
      <c r="A96" s="256">
        <v>94</v>
      </c>
      <c r="B96" s="256">
        <v>3.5879999999999992</v>
      </c>
      <c r="C96" s="256">
        <v>4.2550000000000008</v>
      </c>
      <c r="D96" s="256">
        <v>2.8009999999999993</v>
      </c>
      <c r="E96" s="256">
        <v>2.7029999999999998</v>
      </c>
    </row>
    <row r="97" spans="1:5">
      <c r="A97" s="256">
        <v>95</v>
      </c>
      <c r="B97" s="256">
        <v>3.7059999999999995</v>
      </c>
      <c r="C97" s="256">
        <v>4.3550000000000004</v>
      </c>
      <c r="D97" s="256">
        <v>2.8869999999999996</v>
      </c>
      <c r="E97" s="256">
        <v>2.7520000000000002</v>
      </c>
    </row>
    <row r="98" spans="1:5">
      <c r="A98" s="256">
        <v>96</v>
      </c>
      <c r="B98" s="256">
        <v>3.8239999999999998</v>
      </c>
      <c r="C98" s="256">
        <v>4.4550000000000018</v>
      </c>
      <c r="D98" s="256">
        <v>2.9729999999999999</v>
      </c>
      <c r="E98" s="256">
        <v>2.8010000000000006</v>
      </c>
    </row>
    <row r="99" spans="1:5">
      <c r="A99" s="256">
        <v>97</v>
      </c>
      <c r="B99" s="256">
        <v>3.9420000000000002</v>
      </c>
      <c r="C99" s="256">
        <v>4.5550000000000015</v>
      </c>
      <c r="D99" s="256">
        <v>3.0589999999999984</v>
      </c>
      <c r="E99" s="256">
        <v>2.85</v>
      </c>
    </row>
    <row r="100" spans="1:5">
      <c r="A100" s="256">
        <v>98</v>
      </c>
      <c r="B100" s="256">
        <v>4.0600000000000005</v>
      </c>
      <c r="C100" s="256">
        <v>4.6550000000000011</v>
      </c>
      <c r="D100" s="256">
        <v>3.1449999999999987</v>
      </c>
      <c r="E100" s="256">
        <v>2.8990000000000005</v>
      </c>
    </row>
    <row r="101" spans="1:5">
      <c r="A101" s="256">
        <v>99</v>
      </c>
      <c r="B101" s="256">
        <v>4.177999999999999</v>
      </c>
      <c r="C101" s="256">
        <v>4.7550000000000008</v>
      </c>
      <c r="D101" s="256">
        <v>3.230999999999999</v>
      </c>
      <c r="E101" s="256">
        <v>2.948</v>
      </c>
    </row>
    <row r="102" spans="1:5">
      <c r="A102" s="256">
        <v>100</v>
      </c>
      <c r="B102" s="256">
        <v>4.2959999999999994</v>
      </c>
      <c r="C102" s="256">
        <v>4.8550000000000004</v>
      </c>
      <c r="D102" s="256">
        <v>3.3169999999999993</v>
      </c>
      <c r="E102" s="256">
        <v>2.9970000000000003</v>
      </c>
    </row>
    <row r="103" spans="1:5">
      <c r="A103" s="256">
        <v>101</v>
      </c>
      <c r="B103" s="256">
        <v>4.4139999999999997</v>
      </c>
      <c r="C103" s="256">
        <v>4.9550000000000018</v>
      </c>
      <c r="D103" s="256">
        <v>3.4029999999999996</v>
      </c>
      <c r="E103" s="256">
        <v>3.0459999999999998</v>
      </c>
    </row>
    <row r="104" spans="1:5">
      <c r="A104" s="256">
        <v>102</v>
      </c>
      <c r="B104" s="256">
        <v>4.532</v>
      </c>
      <c r="C104" s="256">
        <v>5.0550000000000015</v>
      </c>
      <c r="D104" s="256">
        <v>3.4889999999999981</v>
      </c>
      <c r="E104" s="256">
        <v>3.0950000000000002</v>
      </c>
    </row>
    <row r="105" spans="1:5">
      <c r="A105" s="256">
        <v>103</v>
      </c>
      <c r="B105" s="256">
        <v>4.6500000000000004</v>
      </c>
      <c r="C105" s="256">
        <v>5.1550000000000011</v>
      </c>
      <c r="D105" s="256">
        <v>3.5749999999999984</v>
      </c>
      <c r="E105" s="256">
        <v>3.1440000000000006</v>
      </c>
    </row>
    <row r="106" spans="1:5">
      <c r="A106" s="256">
        <v>104</v>
      </c>
      <c r="B106" s="256">
        <v>4.7679999999999989</v>
      </c>
      <c r="C106" s="256">
        <v>5.2550000000000008</v>
      </c>
      <c r="D106" s="256">
        <v>3.6609999999999987</v>
      </c>
      <c r="E106" s="256">
        <v>3.1930000000000001</v>
      </c>
    </row>
    <row r="107" spans="1:5">
      <c r="A107" s="256">
        <v>105</v>
      </c>
      <c r="B107" s="256">
        <v>4.8859999999999992</v>
      </c>
      <c r="C107" s="256">
        <v>5.3550000000000004</v>
      </c>
      <c r="D107" s="256">
        <v>3.746999999999999</v>
      </c>
      <c r="E107" s="256">
        <v>3.2420000000000004</v>
      </c>
    </row>
    <row r="108" spans="1:5">
      <c r="A108" s="256">
        <v>106</v>
      </c>
      <c r="B108" s="256">
        <v>5.0039999999999996</v>
      </c>
      <c r="C108" s="256">
        <v>5.4550000000000018</v>
      </c>
      <c r="D108" s="256">
        <v>3.8329999999999993</v>
      </c>
      <c r="E108" s="256">
        <v>3.2909999999999999</v>
      </c>
    </row>
    <row r="109" spans="1:5">
      <c r="A109" s="256">
        <v>107</v>
      </c>
      <c r="B109" s="256">
        <v>5.1219999999999999</v>
      </c>
      <c r="C109" s="256">
        <v>5.5550000000000015</v>
      </c>
      <c r="D109" s="256">
        <v>3.9189999999999996</v>
      </c>
      <c r="E109" s="256">
        <v>3.3400000000000003</v>
      </c>
    </row>
    <row r="110" spans="1:5">
      <c r="A110" s="256">
        <v>108</v>
      </c>
      <c r="B110" s="256">
        <v>5.24</v>
      </c>
      <c r="C110" s="256">
        <v>5.6550000000000011</v>
      </c>
      <c r="D110" s="256">
        <v>4.0049999999999981</v>
      </c>
      <c r="E110" s="256">
        <v>3.3889999999999998</v>
      </c>
    </row>
    <row r="111" spans="1:5">
      <c r="A111" s="256">
        <v>109</v>
      </c>
      <c r="B111" s="256">
        <v>5.3580000000000005</v>
      </c>
      <c r="C111" s="256">
        <v>5.7550000000000008</v>
      </c>
      <c r="D111" s="256">
        <v>4.0909999999999984</v>
      </c>
      <c r="E111" s="256">
        <v>3.4380000000000002</v>
      </c>
    </row>
    <row r="112" spans="1:5">
      <c r="A112" s="256">
        <v>110</v>
      </c>
      <c r="B112" s="256">
        <v>5.4759999999999991</v>
      </c>
      <c r="C112" s="256">
        <v>5.8550000000000004</v>
      </c>
      <c r="D112" s="256">
        <v>4.1769999999999987</v>
      </c>
      <c r="E112" s="256">
        <v>3.4870000000000005</v>
      </c>
    </row>
    <row r="113" spans="1:5">
      <c r="A113" s="256">
        <v>111</v>
      </c>
      <c r="B113" s="256">
        <v>5.5939999999999994</v>
      </c>
      <c r="C113" s="256">
        <v>5.9550000000000018</v>
      </c>
      <c r="D113" s="256">
        <v>4.262999999999999</v>
      </c>
      <c r="E113" s="256">
        <v>3.536</v>
      </c>
    </row>
    <row r="114" spans="1:5">
      <c r="A114" s="256">
        <v>112</v>
      </c>
      <c r="B114" s="256">
        <v>5.7119999999999997</v>
      </c>
      <c r="C114" s="256">
        <v>6.0550000000000015</v>
      </c>
      <c r="D114" s="256">
        <v>4.3489999999999993</v>
      </c>
      <c r="E114" s="256">
        <v>3.5850000000000004</v>
      </c>
    </row>
    <row r="115" spans="1:5">
      <c r="A115" s="256">
        <v>113</v>
      </c>
      <c r="B115" s="256">
        <v>5.83</v>
      </c>
      <c r="C115" s="256">
        <v>6.1550000000000011</v>
      </c>
      <c r="D115" s="256">
        <v>4.4349999999999996</v>
      </c>
      <c r="E115" s="256">
        <v>3.6339999999999999</v>
      </c>
    </row>
    <row r="116" spans="1:5">
      <c r="A116" s="256">
        <v>114</v>
      </c>
      <c r="B116" s="256">
        <v>5.9480000000000004</v>
      </c>
      <c r="C116" s="256">
        <v>6.2550000000000008</v>
      </c>
      <c r="D116" s="256">
        <v>4.5209999999999981</v>
      </c>
      <c r="E116" s="256">
        <v>3.6830000000000003</v>
      </c>
    </row>
    <row r="117" spans="1:5">
      <c r="A117" s="256">
        <v>115</v>
      </c>
      <c r="B117" s="256">
        <v>6.0659999999999989</v>
      </c>
      <c r="C117" s="256">
        <v>6.3550000000000004</v>
      </c>
      <c r="D117" s="256">
        <v>4.6069999999999984</v>
      </c>
      <c r="E117" s="256">
        <v>3.7319999999999998</v>
      </c>
    </row>
    <row r="118" spans="1:5">
      <c r="A118" s="256">
        <v>116</v>
      </c>
      <c r="B118" s="256">
        <v>6.1839999999999993</v>
      </c>
      <c r="C118" s="256">
        <v>6.4550000000000018</v>
      </c>
      <c r="D118" s="256">
        <v>4.6929999999999987</v>
      </c>
      <c r="E118" s="256">
        <v>3.7810000000000001</v>
      </c>
    </row>
    <row r="119" spans="1:5">
      <c r="A119" s="256">
        <v>117</v>
      </c>
      <c r="B119" s="256">
        <v>6.3019999999999996</v>
      </c>
      <c r="C119" s="256">
        <v>6.5550000000000015</v>
      </c>
      <c r="D119" s="256">
        <v>4.778999999999999</v>
      </c>
      <c r="E119" s="256">
        <v>3.8300000000000005</v>
      </c>
    </row>
    <row r="120" spans="1:5">
      <c r="A120" s="256">
        <v>118</v>
      </c>
      <c r="B120" s="256">
        <v>6.42</v>
      </c>
      <c r="C120" s="256">
        <v>6.6550000000000011</v>
      </c>
      <c r="D120" s="256">
        <v>4.8649999999999993</v>
      </c>
      <c r="E120" s="256">
        <v>3.879</v>
      </c>
    </row>
    <row r="121" spans="1:5">
      <c r="A121" s="256">
        <v>119</v>
      </c>
      <c r="B121" s="256">
        <v>6.5380000000000003</v>
      </c>
      <c r="C121" s="256">
        <v>6.7550000000000008</v>
      </c>
      <c r="D121" s="256">
        <v>4.9509999999999996</v>
      </c>
      <c r="E121" s="256">
        <v>3.9280000000000004</v>
      </c>
    </row>
    <row r="122" spans="1:5">
      <c r="A122" s="256">
        <v>120</v>
      </c>
      <c r="B122" s="256">
        <v>6.6560000000000006</v>
      </c>
      <c r="C122" s="256">
        <v>6.8550000000000004</v>
      </c>
      <c r="D122" s="256">
        <v>5.0369999999999981</v>
      </c>
      <c r="E122" s="256">
        <v>3.9769999999999999</v>
      </c>
    </row>
    <row r="123" spans="1:5">
      <c r="A123" s="256">
        <v>121</v>
      </c>
      <c r="B123" s="256">
        <v>6.7739999999999991</v>
      </c>
      <c r="C123" s="256">
        <v>6.9550000000000018</v>
      </c>
      <c r="D123" s="256">
        <v>5.1229999999999984</v>
      </c>
      <c r="E123" s="256">
        <v>4.0259999999999998</v>
      </c>
    </row>
    <row r="124" spans="1:5">
      <c r="A124" s="256">
        <v>122</v>
      </c>
      <c r="B124" s="256">
        <v>6.8919999999999995</v>
      </c>
      <c r="C124" s="256">
        <v>7.0550000000000015</v>
      </c>
      <c r="D124" s="256">
        <v>5.2089999999999987</v>
      </c>
      <c r="E124" s="256">
        <v>4.0750000000000011</v>
      </c>
    </row>
    <row r="125" spans="1:5">
      <c r="A125" s="256">
        <v>123</v>
      </c>
      <c r="B125" s="256">
        <v>7.01</v>
      </c>
      <c r="C125" s="256">
        <v>7.1550000000000011</v>
      </c>
      <c r="D125" s="256">
        <v>5.294999999999999</v>
      </c>
      <c r="E125" s="256">
        <v>4.1240000000000006</v>
      </c>
    </row>
    <row r="126" spans="1:5">
      <c r="A126" s="256">
        <v>124</v>
      </c>
      <c r="B126" s="256">
        <v>7.1280000000000001</v>
      </c>
      <c r="C126" s="256">
        <v>7.2550000000000008</v>
      </c>
      <c r="D126" s="256">
        <v>5.3809999999999993</v>
      </c>
      <c r="E126" s="256">
        <v>4.173</v>
      </c>
    </row>
    <row r="127" spans="1:5">
      <c r="A127" s="256">
        <v>125</v>
      </c>
      <c r="B127" s="256">
        <v>7.2460000000000004</v>
      </c>
      <c r="C127" s="256">
        <v>7.3550000000000004</v>
      </c>
      <c r="D127" s="256">
        <v>5.4669999999999996</v>
      </c>
      <c r="E127" s="256">
        <v>4.2219999999999995</v>
      </c>
    </row>
    <row r="128" spans="1:5">
      <c r="A128" s="256">
        <v>126</v>
      </c>
      <c r="B128" s="256">
        <v>7.363999999999999</v>
      </c>
      <c r="C128" s="256">
        <v>7.4550000000000018</v>
      </c>
      <c r="D128" s="256">
        <v>5.5529999999999982</v>
      </c>
      <c r="E128" s="256">
        <v>4.2710000000000008</v>
      </c>
    </row>
    <row r="129" spans="1:5">
      <c r="A129" s="256">
        <v>127</v>
      </c>
      <c r="B129" s="256">
        <v>7.4819999999999993</v>
      </c>
      <c r="C129" s="256">
        <v>7.5550000000000015</v>
      </c>
      <c r="D129" s="256">
        <v>5.6389999999999985</v>
      </c>
      <c r="E129" s="256">
        <v>4.32</v>
      </c>
    </row>
    <row r="130" spans="1:5">
      <c r="A130" s="256">
        <v>128</v>
      </c>
      <c r="B130" s="256">
        <v>7.6</v>
      </c>
      <c r="C130" s="256">
        <v>7.6550000000000011</v>
      </c>
      <c r="D130" s="256">
        <v>5.7249999999999988</v>
      </c>
      <c r="E130" s="256">
        <v>4.3689999999999998</v>
      </c>
    </row>
    <row r="131" spans="1:5">
      <c r="A131" s="256">
        <v>129</v>
      </c>
      <c r="B131" s="256">
        <v>7.718</v>
      </c>
      <c r="C131" s="256">
        <v>7.7550000000000008</v>
      </c>
      <c r="D131" s="256">
        <v>5.8109999999999991</v>
      </c>
      <c r="E131" s="256">
        <v>4.418000000000001</v>
      </c>
    </row>
    <row r="132" spans="1:5">
      <c r="A132" s="256">
        <v>130</v>
      </c>
      <c r="B132" s="256">
        <v>7.8360000000000003</v>
      </c>
      <c r="C132" s="256">
        <v>7.8550000000000004</v>
      </c>
      <c r="D132" s="256">
        <v>5.8969999999999994</v>
      </c>
      <c r="E132" s="256">
        <v>4.4670000000000005</v>
      </c>
    </row>
    <row r="133" spans="1:5">
      <c r="A133" s="256">
        <v>131</v>
      </c>
      <c r="B133" s="256">
        <v>7.9539999999999988</v>
      </c>
      <c r="C133" s="256">
        <v>7.9550000000000018</v>
      </c>
      <c r="D133" s="256">
        <v>5.9829999999999979</v>
      </c>
      <c r="E133" s="256">
        <v>4.516</v>
      </c>
    </row>
    <row r="134" spans="1:5">
      <c r="A134" s="256">
        <v>132</v>
      </c>
      <c r="B134" s="256">
        <v>8.0719999999999992</v>
      </c>
      <c r="C134" s="256">
        <v>8.0550000000000015</v>
      </c>
      <c r="D134" s="256">
        <v>6.0689999999999982</v>
      </c>
      <c r="E134" s="256">
        <v>4.5649999999999995</v>
      </c>
    </row>
    <row r="135" spans="1:5">
      <c r="A135" s="256">
        <v>133</v>
      </c>
      <c r="B135" s="256">
        <v>8.19</v>
      </c>
      <c r="C135" s="256">
        <v>8.1550000000000011</v>
      </c>
      <c r="D135" s="256">
        <v>6.1549999999999985</v>
      </c>
      <c r="E135" s="256">
        <v>4.6140000000000008</v>
      </c>
    </row>
    <row r="136" spans="1:5">
      <c r="A136" s="256">
        <v>134</v>
      </c>
      <c r="B136" s="256">
        <v>8.3079999999999998</v>
      </c>
      <c r="C136" s="256">
        <v>8.2550000000000008</v>
      </c>
      <c r="D136" s="256">
        <v>6.2409999999999988</v>
      </c>
      <c r="E136" s="256">
        <v>4.6630000000000003</v>
      </c>
    </row>
    <row r="137" spans="1:5">
      <c r="A137" s="256">
        <v>135</v>
      </c>
      <c r="B137" s="256">
        <v>8.4260000000000002</v>
      </c>
      <c r="C137" s="256">
        <v>8.3550000000000004</v>
      </c>
      <c r="D137" s="256">
        <v>6.3269999999999991</v>
      </c>
      <c r="E137" s="256">
        <v>4.7119999999999997</v>
      </c>
    </row>
    <row r="138" spans="1:5">
      <c r="A138" s="256">
        <v>136</v>
      </c>
      <c r="B138" s="256">
        <v>8.5439999999999987</v>
      </c>
      <c r="C138" s="256">
        <v>8.4550000000000018</v>
      </c>
      <c r="D138" s="256">
        <v>6.4129999999999994</v>
      </c>
      <c r="E138" s="256">
        <v>4.7609999999999992</v>
      </c>
    </row>
    <row r="139" spans="1:5">
      <c r="A139" s="256">
        <v>137</v>
      </c>
      <c r="B139" s="256">
        <v>8.6620000000000008</v>
      </c>
      <c r="C139" s="256">
        <v>8.5550000000000015</v>
      </c>
      <c r="D139" s="256">
        <v>6.4989999999999979</v>
      </c>
      <c r="E139" s="256">
        <v>4.9439999999999991</v>
      </c>
    </row>
    <row r="140" spans="1:5">
      <c r="A140" s="256">
        <v>138</v>
      </c>
      <c r="B140" s="256">
        <v>8.7799999999999994</v>
      </c>
      <c r="C140" s="256">
        <v>8.6550000000000011</v>
      </c>
      <c r="D140" s="256">
        <v>6.5849999999999982</v>
      </c>
      <c r="E140" s="256">
        <v>5.1269999999999989</v>
      </c>
    </row>
    <row r="141" spans="1:5">
      <c r="A141" s="256">
        <v>139</v>
      </c>
      <c r="B141" s="256">
        <v>8.8979999999999979</v>
      </c>
      <c r="C141" s="256">
        <v>8.7550000000000008</v>
      </c>
      <c r="D141" s="256">
        <v>6.6709999999999985</v>
      </c>
      <c r="E141" s="256">
        <v>5.3100000000000023</v>
      </c>
    </row>
    <row r="142" spans="1:5">
      <c r="A142" s="256">
        <v>140</v>
      </c>
      <c r="B142" s="256">
        <v>9.016</v>
      </c>
      <c r="C142" s="256">
        <v>8.8550000000000004</v>
      </c>
      <c r="D142" s="256">
        <v>6.7569999999999988</v>
      </c>
      <c r="E142" s="256">
        <v>5.4930000000000021</v>
      </c>
    </row>
    <row r="143" spans="1:5">
      <c r="A143" s="256">
        <v>141</v>
      </c>
      <c r="B143" s="256">
        <v>9.1339999999999986</v>
      </c>
      <c r="C143" s="256">
        <v>8.9550000000000018</v>
      </c>
      <c r="D143" s="256">
        <v>6.8429999999999991</v>
      </c>
      <c r="E143" s="256">
        <v>5.6760000000000019</v>
      </c>
    </row>
    <row r="144" spans="1:5">
      <c r="A144" s="256">
        <v>142</v>
      </c>
      <c r="B144" s="256">
        <v>9.2520000000000007</v>
      </c>
      <c r="C144" s="256">
        <v>9.0550000000000015</v>
      </c>
      <c r="D144" s="256">
        <v>6.9289999999999994</v>
      </c>
      <c r="E144" s="256">
        <v>5.8590000000000018</v>
      </c>
    </row>
    <row r="145" spans="1:5">
      <c r="A145" s="256">
        <v>143</v>
      </c>
      <c r="B145" s="256">
        <v>9.3699999999999992</v>
      </c>
      <c r="C145" s="256">
        <v>9.1550000000000011</v>
      </c>
      <c r="D145" s="256">
        <v>7.0149999999999979</v>
      </c>
      <c r="E145" s="256">
        <v>6.0420000000000016</v>
      </c>
    </row>
    <row r="146" spans="1:5">
      <c r="A146" s="256">
        <v>144</v>
      </c>
      <c r="B146" s="256">
        <v>9.4879999999999978</v>
      </c>
      <c r="C146" s="256">
        <v>9.2550000000000008</v>
      </c>
      <c r="D146" s="256">
        <v>7.1009999999999982</v>
      </c>
      <c r="E146" s="256">
        <v>6.2250000000000014</v>
      </c>
    </row>
    <row r="147" spans="1:5">
      <c r="A147" s="256">
        <v>145</v>
      </c>
      <c r="B147" s="256">
        <v>9.6059999999999999</v>
      </c>
      <c r="C147" s="256">
        <v>9.3550000000000004</v>
      </c>
      <c r="D147" s="256">
        <v>7.1869999999999985</v>
      </c>
      <c r="E147" s="256">
        <v>6.4080000000000013</v>
      </c>
    </row>
    <row r="148" spans="1:5">
      <c r="A148" s="256">
        <v>146</v>
      </c>
      <c r="B148" s="256">
        <v>9.7239999999999984</v>
      </c>
      <c r="C148" s="256">
        <v>9.4550000000000018</v>
      </c>
      <c r="D148" s="256">
        <v>7.2729999999999988</v>
      </c>
      <c r="E148" s="256">
        <v>6.5910000000000011</v>
      </c>
    </row>
    <row r="149" spans="1:5">
      <c r="A149" s="256">
        <v>147</v>
      </c>
      <c r="B149" s="256">
        <v>9.8420000000000005</v>
      </c>
      <c r="C149" s="256">
        <v>9.5550000000000015</v>
      </c>
      <c r="D149" s="256">
        <v>7.3589999999999991</v>
      </c>
      <c r="E149" s="256">
        <v>6.7740000000000009</v>
      </c>
    </row>
    <row r="150" spans="1:5">
      <c r="A150" s="256">
        <v>148</v>
      </c>
      <c r="B150" s="256">
        <v>9.9599999999999991</v>
      </c>
      <c r="C150" s="256">
        <v>9.6550000000000011</v>
      </c>
      <c r="D150" s="256">
        <v>7.4449999999999994</v>
      </c>
      <c r="E150" s="256">
        <v>6.9570000000000007</v>
      </c>
    </row>
    <row r="151" spans="1:5">
      <c r="A151" s="256">
        <v>149</v>
      </c>
      <c r="B151" s="256">
        <v>10.078000000000001</v>
      </c>
      <c r="C151" s="256">
        <v>9.7550000000000008</v>
      </c>
      <c r="D151" s="256">
        <v>7.5309999999999979</v>
      </c>
      <c r="E151" s="256">
        <v>7.1400000000000006</v>
      </c>
    </row>
    <row r="152" spans="1:5">
      <c r="A152" s="256">
        <v>150</v>
      </c>
      <c r="B152" s="256">
        <v>10.196</v>
      </c>
      <c r="C152" s="256">
        <v>9.8550000000000004</v>
      </c>
      <c r="D152" s="256">
        <v>7.6169999999999982</v>
      </c>
      <c r="E152" s="256">
        <v>7.3230000000000004</v>
      </c>
    </row>
  </sheetData>
  <sheetProtection algorithmName="SHA-512" hashValue="MfSRoS6ojHlnny29bJul9QunCeQckkmFLsiYp140RP9d4pC5FZhgXR7iGhjjX6lHNGvJhLMB5z7a8CboesidLw==" saltValue="gQw1JmLDYLk1X5ChI3PbBg==" spinCount="100000" sheet="1" objects="1" scenarios="1"/>
  <pageMargins left="0.7" right="0.7" top="0.75" bottom="0.75" header="0.3" footer="0.3"/>
  <pageSetup paperSize="9" scale="15" orientation="landscape"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2:D95"/>
  <sheetViews>
    <sheetView workbookViewId="0">
      <selection activeCell="A13" sqref="A13"/>
    </sheetView>
  </sheetViews>
  <sheetFormatPr baseColWidth="10" defaultColWidth="45.140625" defaultRowHeight="12.75"/>
  <cols>
    <col min="1" max="1" width="48.5703125" customWidth="1"/>
    <col min="3" max="3" width="60" customWidth="1"/>
  </cols>
  <sheetData>
    <row r="2" spans="1:4">
      <c r="A2" s="1" t="s">
        <v>1</v>
      </c>
      <c r="B2" s="1" t="s">
        <v>242</v>
      </c>
    </row>
    <row r="3" spans="1:4">
      <c r="A3" s="15" t="s">
        <v>146</v>
      </c>
    </row>
    <row r="4" spans="1:4">
      <c r="A4" t="s">
        <v>29</v>
      </c>
      <c r="B4" s="16" t="s">
        <v>364</v>
      </c>
    </row>
    <row r="5" spans="1:4">
      <c r="B5" s="16" t="s">
        <v>369</v>
      </c>
      <c r="C5" s="15"/>
    </row>
    <row r="6" spans="1:4">
      <c r="A6" s="3" t="s">
        <v>5</v>
      </c>
      <c r="B6" s="16" t="s">
        <v>371</v>
      </c>
      <c r="C6" s="15"/>
    </row>
    <row r="7" spans="1:4">
      <c r="A7" t="s">
        <v>149</v>
      </c>
      <c r="B7" s="16"/>
      <c r="C7" s="15"/>
    </row>
    <row r="8" spans="1:4">
      <c r="A8" t="s">
        <v>150</v>
      </c>
      <c r="B8" s="16"/>
      <c r="C8" s="15"/>
      <c r="D8" s="16"/>
    </row>
    <row r="9" spans="1:4">
      <c r="A9" s="3"/>
      <c r="B9" s="16"/>
      <c r="C9" s="15"/>
      <c r="D9" s="16"/>
    </row>
    <row r="10" spans="1:4">
      <c r="A10" s="3" t="s">
        <v>0</v>
      </c>
    </row>
    <row r="11" spans="1:4">
      <c r="A11" t="s">
        <v>30</v>
      </c>
    </row>
    <row r="12" spans="1:4">
      <c r="A12" t="s">
        <v>374</v>
      </c>
    </row>
    <row r="13" spans="1:4">
      <c r="A13" t="s">
        <v>375</v>
      </c>
    </row>
    <row r="15" spans="1:4">
      <c r="A15" s="1" t="s">
        <v>3</v>
      </c>
    </row>
    <row r="16" spans="1:4">
      <c r="A16" s="16" t="s">
        <v>222</v>
      </c>
    </row>
    <row r="17" spans="1:1">
      <c r="A17" s="16" t="s">
        <v>223</v>
      </c>
    </row>
    <row r="18" spans="1:1">
      <c r="A18" s="16" t="s">
        <v>224</v>
      </c>
    </row>
    <row r="19" spans="1:1">
      <c r="A19" t="s">
        <v>4</v>
      </c>
    </row>
    <row r="20" spans="1:1">
      <c r="A20" s="16" t="s">
        <v>225</v>
      </c>
    </row>
    <row r="22" spans="1:1">
      <c r="A22" s="1" t="s">
        <v>2</v>
      </c>
    </row>
    <row r="23" spans="1:1">
      <c r="A23" s="2" t="s">
        <v>15</v>
      </c>
    </row>
    <row r="24" spans="1:1">
      <c r="A24" t="s">
        <v>16</v>
      </c>
    </row>
    <row r="26" spans="1:1">
      <c r="A26" s="1" t="s">
        <v>6</v>
      </c>
    </row>
    <row r="27" spans="1:1">
      <c r="A27" t="s">
        <v>34</v>
      </c>
    </row>
    <row r="28" spans="1:1">
      <c r="A28" t="s">
        <v>35</v>
      </c>
    </row>
    <row r="30" spans="1:1">
      <c r="A30" s="1" t="s">
        <v>13</v>
      </c>
    </row>
    <row r="31" spans="1:1">
      <c r="A31" t="s">
        <v>134</v>
      </c>
    </row>
    <row r="32" spans="1:1">
      <c r="A32" t="s">
        <v>135</v>
      </c>
    </row>
    <row r="34" spans="1:1">
      <c r="A34" s="1" t="s">
        <v>14</v>
      </c>
    </row>
    <row r="35" spans="1:1">
      <c r="A35" t="s">
        <v>31</v>
      </c>
    </row>
    <row r="36" spans="1:1">
      <c r="A36" t="s">
        <v>32</v>
      </c>
    </row>
    <row r="38" spans="1:1">
      <c r="A38" s="1" t="s">
        <v>152</v>
      </c>
    </row>
    <row r="39" spans="1:1" ht="25.5">
      <c r="A39" s="15" t="s">
        <v>156</v>
      </c>
    </row>
    <row r="40" spans="1:1" ht="25.5">
      <c r="A40" s="15" t="s">
        <v>157</v>
      </c>
    </row>
    <row r="41" spans="1:1" ht="25.5">
      <c r="A41" s="15" t="s">
        <v>158</v>
      </c>
    </row>
    <row r="42" spans="1:1" ht="25.5">
      <c r="A42" s="15" t="s">
        <v>159</v>
      </c>
    </row>
    <row r="44" spans="1:1">
      <c r="A44" s="1" t="s">
        <v>17</v>
      </c>
    </row>
    <row r="45" spans="1:1" ht="15.75">
      <c r="A45" t="s">
        <v>18</v>
      </c>
    </row>
    <row r="46" spans="1:1" ht="15.75">
      <c r="A46" t="s">
        <v>19</v>
      </c>
    </row>
    <row r="47" spans="1:1" ht="15.75">
      <c r="A47" t="s">
        <v>20</v>
      </c>
    </row>
    <row r="48" spans="1:1" ht="15.75">
      <c r="A48" t="s">
        <v>21</v>
      </c>
    </row>
    <row r="50" spans="1:1">
      <c r="A50" s="1" t="s">
        <v>181</v>
      </c>
    </row>
    <row r="51" spans="1:1">
      <c r="A51" s="16" t="s">
        <v>184</v>
      </c>
    </row>
    <row r="52" spans="1:1" ht="15.75">
      <c r="A52" t="s">
        <v>19</v>
      </c>
    </row>
    <row r="53" spans="1:1" ht="15.75">
      <c r="A53" t="s">
        <v>20</v>
      </c>
    </row>
    <row r="54" spans="1:1" ht="15.75">
      <c r="A54" t="s">
        <v>21</v>
      </c>
    </row>
    <row r="55" spans="1:1">
      <c r="A55" s="16" t="s">
        <v>183</v>
      </c>
    </row>
    <row r="56" spans="1:1" ht="15.75">
      <c r="A56" t="s">
        <v>36</v>
      </c>
    </row>
    <row r="58" spans="1:1">
      <c r="A58" s="1" t="s">
        <v>189</v>
      </c>
    </row>
    <row r="59" spans="1:1">
      <c r="A59" t="s">
        <v>15</v>
      </c>
    </row>
    <row r="60" spans="1:1">
      <c r="A60" t="s">
        <v>37</v>
      </c>
    </row>
    <row r="62" spans="1:1">
      <c r="A62" s="1" t="s">
        <v>78</v>
      </c>
    </row>
    <row r="63" spans="1:1">
      <c r="A63" t="s">
        <v>79</v>
      </c>
    </row>
    <row r="64" spans="1:1">
      <c r="A64" t="s">
        <v>80</v>
      </c>
    </row>
    <row r="65" spans="1:1">
      <c r="A65" s="2" t="s">
        <v>102</v>
      </c>
    </row>
    <row r="66" spans="1:1">
      <c r="A66" t="s">
        <v>81</v>
      </c>
    </row>
    <row r="67" spans="1:1">
      <c r="A67" t="s">
        <v>82</v>
      </c>
    </row>
    <row r="68" spans="1:1">
      <c r="A68" s="16" t="s">
        <v>203</v>
      </c>
    </row>
    <row r="69" spans="1:1">
      <c r="A69" t="s">
        <v>83</v>
      </c>
    </row>
    <row r="70" spans="1:1">
      <c r="A70" t="s">
        <v>84</v>
      </c>
    </row>
    <row r="71" spans="1:1">
      <c r="A71" t="s">
        <v>373</v>
      </c>
    </row>
    <row r="72" spans="1:1">
      <c r="A72" t="s">
        <v>85</v>
      </c>
    </row>
    <row r="73" spans="1:1">
      <c r="A73" t="s">
        <v>86</v>
      </c>
    </row>
    <row r="74" spans="1:1">
      <c r="A74" s="16" t="s">
        <v>204</v>
      </c>
    </row>
    <row r="75" spans="1:1">
      <c r="A75" s="16" t="s">
        <v>205</v>
      </c>
    </row>
    <row r="76" spans="1:1">
      <c r="A76" t="s">
        <v>87</v>
      </c>
    </row>
    <row r="77" spans="1:1">
      <c r="A77" s="16" t="s">
        <v>206</v>
      </c>
    </row>
    <row r="78" spans="1:1">
      <c r="A78" t="s">
        <v>108</v>
      </c>
    </row>
    <row r="79" spans="1:1">
      <c r="A79" s="16" t="s">
        <v>207</v>
      </c>
    </row>
    <row r="82" spans="1:2">
      <c r="A82" s="1" t="s">
        <v>88</v>
      </c>
      <c r="B82" s="16"/>
    </row>
    <row r="83" spans="1:2">
      <c r="A83" s="2" t="s">
        <v>89</v>
      </c>
      <c r="B83" s="16"/>
    </row>
    <row r="84" spans="1:2">
      <c r="A84" s="2" t="s">
        <v>90</v>
      </c>
    </row>
    <row r="86" spans="1:2">
      <c r="A86" s="1" t="s">
        <v>91</v>
      </c>
    </row>
    <row r="87" spans="1:2">
      <c r="A87" s="16" t="s">
        <v>330</v>
      </c>
    </row>
    <row r="88" spans="1:2">
      <c r="A88" s="16" t="s">
        <v>329</v>
      </c>
    </row>
    <row r="89" spans="1:2">
      <c r="A89" s="16" t="s">
        <v>328</v>
      </c>
    </row>
    <row r="91" spans="1:2">
      <c r="A91" s="1" t="s">
        <v>93</v>
      </c>
    </row>
    <row r="93" spans="1:2">
      <c r="A93" s="16" t="s">
        <v>326</v>
      </c>
    </row>
    <row r="94" spans="1:2">
      <c r="A94" s="16" t="s">
        <v>330</v>
      </c>
    </row>
    <row r="95" spans="1:2">
      <c r="A95" s="16" t="s">
        <v>329</v>
      </c>
    </row>
  </sheetData>
  <sheetProtection algorithmName="SHA-512" hashValue="RvDAY71Jl0+zoBVOeOYq1nozRVlel88IoJG0u/CPX+VqMOVv9IdTgjxcHZf12JbuOy9no6xMqcodTi4QtiBQXg==" saltValue="F/g0cAixWm/n9DrbSL7faw==" spinCount="100000" sheet="1" objects="1" scenarios="1"/>
  <phoneticPr fontId="3"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17</vt:i4>
      </vt:variant>
    </vt:vector>
  </HeadingPairs>
  <TitlesOfParts>
    <vt:vector size="22" baseType="lpstr">
      <vt:lpstr>Instructions</vt:lpstr>
      <vt:lpstr>Input-Evaluation</vt:lpstr>
      <vt:lpstr>Calculator ES 2.0 - 3.0</vt:lpstr>
      <vt:lpstr>ES 3.0</vt:lpstr>
      <vt:lpstr>Internal Data</vt:lpstr>
      <vt:lpstr>Aktivierungszeit</vt:lpstr>
      <vt:lpstr>Ausnahme</vt:lpstr>
      <vt:lpstr>Auswahl</vt:lpstr>
      <vt:lpstr>autooff</vt:lpstr>
      <vt:lpstr>Instructions!Druckbereich</vt:lpstr>
      <vt:lpstr>Duplex</vt:lpstr>
      <vt:lpstr>Gerätetyp</vt:lpstr>
      <vt:lpstr>Geräusche</vt:lpstr>
      <vt:lpstr>Grund</vt:lpstr>
      <vt:lpstr>Hauptfunktion</vt:lpstr>
      <vt:lpstr>Methode</vt:lpstr>
      <vt:lpstr>Modus</vt:lpstr>
      <vt:lpstr>Monochrom_Farbe</vt:lpstr>
      <vt:lpstr>Prüflabor</vt:lpstr>
      <vt:lpstr>Prüfung</vt:lpstr>
      <vt:lpstr>Ruhezustand</vt:lpstr>
      <vt:lpstr>Tisch_Standgerät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RAL-UZ171 Edition July 2012 Annex 8a</dc:title>
  <dc:creator>RAL gGmbH</dc:creator>
  <dc:description>Version 6 vom 9.12.2013: Aufnahme der ISO29183 für Kopierer ohne ADF. Spalte F ohne Schutz. Korrektur Formel Zeile 68 (C31 auf C33). Formel Zeile 22: Sm Drucken, wenn vorhanden. Korrektur Farben in Eingabe Chem.Emission. Höchstewerte Akt-zeit von 1000 auf 10000. Änderungen im Bereich Geräusch 3.5.2. Änderung Prüflabore Emission.Änderungen Bezeichnung off-mode._x000d_
Version 4 vom 24.4.2013: Fehler in Formel in Zelle C54 und C52 korrigiert_x000d_
Version3 vom 15.3.3013: Zellenschutz in E-103 entfernt_x000d_
Version 2 vom 26.2.2013 _x000d_
Korrektur Formel in Zeile B228</dc:description>
  <cp:lastModifiedBy>Buttner, Peter</cp:lastModifiedBy>
  <cp:lastPrinted>2017-03-07T10:46:14Z</cp:lastPrinted>
  <dcterms:created xsi:type="dcterms:W3CDTF">2006-02-21T10:38:15Z</dcterms:created>
  <dcterms:modified xsi:type="dcterms:W3CDTF">2021-04-28T07:09:38Z</dcterms:modified>
</cp:coreProperties>
</file>